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e/Einbauzeichnungen/"/>
    </mc:Choice>
  </mc:AlternateContent>
  <xr:revisionPtr revIDLastSave="0" documentId="8_{DE79638D-86F5-4732-A21A-403ADC42465D}" xr6:coauthVersionLast="47" xr6:coauthVersionMax="47" xr10:uidLastSave="{00000000-0000-0000-0000-000000000000}"/>
  <bookViews>
    <workbookView xWindow="28680" yWindow="-120" windowWidth="29040" windowHeight="15840" xr2:uid="{9B63660D-BE7D-4468-9E14-2F160A515585}"/>
  </bookViews>
  <sheets>
    <sheet name="general" sheetId="1" r:id="rId1"/>
    <sheet name="SW-R" sheetId="2" r:id="rId2"/>
    <sheet name="SW-L" sheetId="3" r:id="rId3"/>
    <sheet name="Manuallly_operated" sheetId="4" r:id="rId4"/>
    <sheet name="Obrázky" sheetId="5" state="hidden" r:id="rId5"/>
  </sheets>
  <definedNames>
    <definedName name="_xlnm.Print_Area" localSheetId="0">general!$A$1:$AC$70</definedName>
    <definedName name="_xlnm.Print_Area" localSheetId="2">'SW-L'!$A$1:$I$49</definedName>
    <definedName name="_xlnm.Print_Area" localSheetId="1">'SW-R'!$A$1:$I$49</definedName>
    <definedName name="motor">INDEX(Obrázky!$E$20:$E$197, MATCH(general!$K$7,Obrázky!$D$20:$D$138,0))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1" i="5" l="1"/>
  <c r="Y18" i="5"/>
  <c r="Y17" i="5"/>
  <c r="Y16" i="5"/>
  <c r="Y13" i="5"/>
  <c r="I66" i="1"/>
  <c r="H66" i="1"/>
  <c r="F66" i="1"/>
  <c r="P65" i="1"/>
  <c r="M65" i="1"/>
  <c r="I65" i="1"/>
  <c r="H65" i="1"/>
  <c r="F65" i="1"/>
  <c r="P64" i="1"/>
  <c r="M64" i="1"/>
  <c r="I64" i="1"/>
  <c r="H64" i="1"/>
  <c r="F64" i="1"/>
  <c r="P63" i="1"/>
  <c r="M63" i="1"/>
  <c r="L63" i="1"/>
  <c r="F63" i="1"/>
  <c r="P62" i="1"/>
  <c r="F62" i="1"/>
  <c r="L61" i="1"/>
  <c r="G61" i="1"/>
  <c r="F61" i="1"/>
  <c r="P60" i="1"/>
  <c r="L60" i="1"/>
  <c r="G60" i="1"/>
  <c r="F60" i="1"/>
  <c r="AG55" i="1"/>
  <c r="AL45" i="1"/>
  <c r="AL42" i="1"/>
  <c r="AE1" i="1"/>
  <c r="AG133" i="1" s="1"/>
  <c r="H61" i="1" s="1"/>
  <c r="AG67" i="1" l="1"/>
  <c r="AG43" i="1"/>
  <c r="AG49" i="1"/>
  <c r="AG61" i="1"/>
  <c r="AG2" i="1"/>
  <c r="AG5" i="1"/>
  <c r="AG16" i="1"/>
  <c r="AG30" i="1"/>
  <c r="AG80" i="1"/>
  <c r="AG13" i="1"/>
  <c r="AG8" i="1"/>
  <c r="AG27" i="1"/>
  <c r="AG32" i="1"/>
  <c r="AG41" i="1"/>
  <c r="AG62" i="1"/>
  <c r="AG69" i="1"/>
  <c r="AG77" i="1"/>
  <c r="AG87" i="1"/>
  <c r="AG95" i="1"/>
  <c r="AG105" i="1"/>
  <c r="AG115" i="1"/>
  <c r="AG126" i="1"/>
  <c r="H11" i="1" s="1"/>
  <c r="AG72" i="1"/>
  <c r="AG4" i="1"/>
  <c r="AG21" i="1"/>
  <c r="AG14" i="1"/>
  <c r="AG22" i="1"/>
  <c r="AG28" i="1"/>
  <c r="AG42" i="1"/>
  <c r="AG70" i="1"/>
  <c r="AG78" i="1"/>
  <c r="AG88" i="1"/>
  <c r="AG96" i="1"/>
  <c r="AG106" i="1"/>
  <c r="C42" i="4" s="1"/>
  <c r="AG116" i="1"/>
  <c r="AG127" i="1"/>
  <c r="O5" i="1"/>
  <c r="AG15" i="1"/>
  <c r="AG29" i="1"/>
  <c r="AG35" i="1"/>
  <c r="AG48" i="1"/>
  <c r="AG66" i="1"/>
  <c r="AG71" i="1"/>
  <c r="AG79" i="1"/>
  <c r="AG89" i="1"/>
  <c r="AG97" i="1"/>
  <c r="AG107" i="1"/>
  <c r="AG117" i="1"/>
  <c r="AG128" i="1"/>
  <c r="AG119" i="1"/>
  <c r="AG25" i="1"/>
  <c r="AG36" i="1"/>
  <c r="AG44" i="1"/>
  <c r="AG50" i="1"/>
  <c r="AG73" i="1"/>
  <c r="AG81" i="1"/>
  <c r="AG91" i="1"/>
  <c r="AG101" i="1"/>
  <c r="AG110" i="1"/>
  <c r="AG120" i="1"/>
  <c r="H9" i="1" s="1"/>
  <c r="AG130" i="1"/>
  <c r="AG90" i="1"/>
  <c r="AG108" i="1"/>
  <c r="AG3" i="1"/>
  <c r="H3" i="1" s="1"/>
  <c r="AG6" i="1"/>
  <c r="Q11" i="1" s="1"/>
  <c r="AG31" i="1"/>
  <c r="AG56" i="1"/>
  <c r="AG60" i="1"/>
  <c r="AG65" i="1"/>
  <c r="AG74" i="1"/>
  <c r="AG82" i="1"/>
  <c r="AG92" i="1"/>
  <c r="AG102" i="1"/>
  <c r="AG111" i="1"/>
  <c r="AG121" i="1"/>
  <c r="AG131" i="1"/>
  <c r="AG99" i="1"/>
  <c r="AG129" i="1"/>
  <c r="AG12" i="1"/>
  <c r="AG20" i="1"/>
  <c r="AG45" i="1"/>
  <c r="AG51" i="1"/>
  <c r="R60" i="1" s="1"/>
  <c r="AG64" i="1"/>
  <c r="AG75" i="1"/>
  <c r="AG85" i="1"/>
  <c r="AG93" i="1"/>
  <c r="AG103" i="1"/>
  <c r="AG112" i="1"/>
  <c r="AG122" i="1"/>
  <c r="AG132" i="1"/>
  <c r="H60" i="1" s="1"/>
  <c r="AG7" i="1"/>
  <c r="AG26" i="1"/>
  <c r="AG37" i="1"/>
  <c r="AG57" i="1"/>
  <c r="AG63" i="1"/>
  <c r="AG68" i="1"/>
  <c r="AG76" i="1"/>
  <c r="G59" i="1" s="1"/>
  <c r="AG86" i="1"/>
  <c r="AG94" i="1"/>
  <c r="AG104" i="1"/>
  <c r="AG113" i="1"/>
  <c r="AG124" i="1"/>
  <c r="B58" i="1" s="1"/>
  <c r="E42" i="4" l="1"/>
  <c r="D78" i="5"/>
  <c r="C65" i="1"/>
  <c r="AU4" i="1"/>
  <c r="E42" i="2"/>
  <c r="D20" i="5"/>
  <c r="AU5" i="1"/>
  <c r="D49" i="5"/>
  <c r="E42" i="3"/>
  <c r="R53" i="1"/>
  <c r="AU3" i="1"/>
  <c r="D137" i="5"/>
  <c r="Q35" i="1"/>
  <c r="Y22" i="5"/>
  <c r="AU2" i="1"/>
  <c r="D107" i="5"/>
  <c r="V63" i="1"/>
  <c r="D37" i="1"/>
  <c r="T61" i="1"/>
  <c r="C42" i="3"/>
  <c r="C42" i="2"/>
  <c r="B56" i="1"/>
  <c r="R51" i="1"/>
  <c r="Y36" i="1"/>
  <c r="Z68" i="1"/>
  <c r="B53" i="1"/>
  <c r="H7" i="1"/>
  <c r="V61" i="1"/>
  <c r="I32" i="1"/>
  <c r="B32" i="1"/>
  <c r="AU1" i="1"/>
  <c r="AB61" i="1"/>
  <c r="AA68" i="1"/>
  <c r="Y31" i="1"/>
  <c r="Y26" i="1"/>
  <c r="M59" i="1"/>
  <c r="R45" i="1"/>
  <c r="X61" i="1"/>
  <c r="H5" i="1"/>
  <c r="C66" i="1"/>
  <c r="G62" i="1"/>
  <c r="C64" i="1"/>
  <c r="V68" i="1"/>
  <c r="W2" i="1"/>
  <c r="C63" i="1"/>
  <c r="M61" i="1"/>
  <c r="R58" i="1"/>
  <c r="C61" i="1"/>
  <c r="R59" i="1"/>
  <c r="B57" i="1"/>
  <c r="AA61" i="1"/>
  <c r="L37" i="1"/>
  <c r="D11" i="1"/>
  <c r="H19" i="1"/>
  <c r="X47" i="1"/>
  <c r="R61" i="1"/>
  <c r="C62" i="1"/>
  <c r="Z61" i="1"/>
  <c r="C60" i="1"/>
  <c r="B59" i="1"/>
  <c r="R47" i="1"/>
  <c r="K13" i="1"/>
  <c r="K14" i="1"/>
  <c r="R54" i="1"/>
  <c r="B55" i="1"/>
  <c r="C44" i="3" l="1"/>
  <c r="C44" i="2"/>
  <c r="C44" i="4"/>
  <c r="Y20" i="5"/>
  <c r="C40" i="3"/>
  <c r="C40" i="4"/>
  <c r="C40" i="2"/>
  <c r="C46" i="2"/>
  <c r="C46" i="3"/>
  <c r="C46" i="4"/>
  <c r="Y19" i="5"/>
  <c r="C48" i="2"/>
  <c r="C48" i="3"/>
  <c r="C48" i="4"/>
  <c r="H21" i="1"/>
  <c r="H26" i="1"/>
  <c r="H24" i="1"/>
  <c r="H23" i="1"/>
  <c r="H22" i="1"/>
</calcChain>
</file>

<file path=xl/sharedStrings.xml><?xml version="1.0" encoding="utf-8"?>
<sst xmlns="http://schemas.openxmlformats.org/spreadsheetml/2006/main" count="985" uniqueCount="884">
  <si>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</si>
  <si>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</si>
  <si>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</si>
  <si>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</si>
  <si>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</si>
  <si>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</si>
  <si>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</si>
  <si>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</si>
  <si>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</si>
  <si>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</si>
  <si>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</si>
  <si>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</si>
  <si>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</si>
  <si>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</si>
  <si>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</si>
  <si>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</si>
  <si>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</si>
  <si>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</si>
  <si>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</si>
  <si>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</si>
  <si>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</si>
  <si>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</si>
  <si>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</si>
  <si>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</si>
  <si>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</si>
  <si>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</si>
  <si>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</si>
  <si>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</si>
  <si>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</si>
  <si>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</si>
  <si>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</si>
  <si>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</si>
  <si>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</si>
  <si>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8000 mm; H max 6500 mm; max. 40 m2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</si>
  <si>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</si>
  <si>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</si>
  <si>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</si>
  <si>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</si>
  <si>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</si>
  <si>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</si>
  <si>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</si>
  <si>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</si>
  <si>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</si>
  <si>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</si>
  <si>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</si>
  <si>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</si>
  <si>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</si>
  <si>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</si>
  <si>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</si>
  <si>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</si>
  <si>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</si>
  <si>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</si>
  <si>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</si>
  <si>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</si>
  <si>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</si>
  <si>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</si>
  <si>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</si>
  <si>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</si>
  <si>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</si>
  <si>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</si>
  <si>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</si>
  <si>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</si>
  <si>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</si>
  <si>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</si>
  <si>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</si>
  <si>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</si>
  <si>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</si>
  <si>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</si>
  <si>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</si>
  <si>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</si>
  <si>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</si>
  <si>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</si>
  <si>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</si>
  <si>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</si>
  <si>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</si>
  <si>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</si>
  <si>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</si>
  <si>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</si>
  <si>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</si>
  <si>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</si>
  <si>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</si>
  <si>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</si>
  <si>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VERTIKÁLNÍ VEDENÍ (VL)</t>
  </si>
  <si>
    <t>VERTICAL LIFT SYSTEM (VL)</t>
  </si>
  <si>
    <t>VERTIKALER BESCHLAG (VL)</t>
  </si>
  <si>
    <t>PROWADZENIE PIONOWE (VL)</t>
  </si>
  <si>
    <t>LEVEE VERTICALE (VL)</t>
  </si>
  <si>
    <t>VERTICAAL PLAFOND SYSTEEM (VL)</t>
  </si>
  <si>
    <t>Vertikaaltõste</t>
  </si>
  <si>
    <t>SUORANOSTO (VL)</t>
  </si>
  <si>
    <t>ВЕРТИКАЛЬНЫЙ ПОДЪЕМ (VL)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</si>
  <si>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</si>
  <si>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</si>
  <si>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</si>
  <si>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</si>
  <si>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</si>
  <si>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</si>
  <si>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</si>
  <si>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</si>
  <si>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</si>
  <si>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</si>
  <si>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</si>
  <si>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</si>
  <si>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</si>
  <si>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</si>
  <si>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</si>
  <si>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</si>
  <si>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</si>
  <si>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</si>
  <si>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</si>
  <si>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</si>
  <si>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</si>
  <si>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</si>
  <si>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</si>
  <si>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BxH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</si>
  <si>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</si>
  <si>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</si>
  <si>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</si>
  <si>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</si>
  <si>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</si>
  <si>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</si>
  <si>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</si>
  <si>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</si>
  <si>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</si>
  <si>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</si>
  <si>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</si>
  <si>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</si>
  <si>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</si>
  <si>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</si>
  <si>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</si>
  <si>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</si>
  <si>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</si>
  <si>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</si>
  <si>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</si>
  <si>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</si>
  <si>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</si>
  <si>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</si>
  <si>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</si>
  <si>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</si>
  <si>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cůadding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</si>
  <si>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</si>
  <si>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</si>
  <si>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</si>
  <si>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</si>
  <si>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</si>
  <si>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</si>
  <si>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</si>
  <si>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</si>
  <si>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</si>
  <si>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</si>
  <si>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</si>
  <si>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</si>
  <si>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</si>
  <si>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</si>
  <si>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</si>
  <si>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</si>
  <si>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</si>
  <si>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</si>
  <si>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</si>
  <si>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</si>
  <si>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</si>
  <si>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</si>
  <si>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</si>
  <si>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</si>
  <si>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</si>
  <si>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</si>
  <si>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</si>
  <si>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</si>
  <si>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</si>
  <si>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</si>
  <si>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</si>
  <si>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</si>
  <si>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</si>
  <si>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</si>
  <si>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</si>
  <si>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</si>
  <si>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</si>
  <si>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</si>
  <si>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</si>
  <si>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</si>
  <si>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</si>
  <si>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</si>
  <si>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</si>
  <si>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</si>
  <si>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</si>
  <si>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</si>
  <si>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</si>
  <si>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</si>
  <si>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Elektrisch: (bij elektrisch bediende deuren)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</si>
  <si>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</si>
  <si>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</si>
  <si>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</si>
  <si>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</si>
  <si>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</si>
  <si>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</si>
  <si>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</si>
  <si>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</si>
  <si>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</si>
  <si>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</si>
  <si>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</si>
  <si>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</si>
  <si>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</si>
  <si>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</si>
  <si>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</si>
  <si>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</si>
  <si>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</si>
  <si>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</si>
  <si>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</si>
  <si>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</si>
  <si>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</si>
  <si>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</si>
  <si>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</si>
  <si>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</si>
  <si>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</si>
  <si>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</si>
  <si>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</si>
  <si>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</si>
  <si>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</si>
  <si>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</si>
  <si>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</si>
  <si>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</si>
  <si>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</si>
  <si>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</si>
  <si>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</si>
  <si>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</si>
  <si>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</si>
  <si>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</si>
  <si>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 xml:space="preserve">MONTÁŽNÍ PLOCHA PRO MOTOR </t>
  </si>
  <si>
    <t>MOUNTING SURFACE FOR MOTOR</t>
  </si>
  <si>
    <t xml:space="preserve">MONTAGEFLÄCHE FÜR DEN MOTOR </t>
  </si>
  <si>
    <t>POWIERZCHNIA MONTAŻOWA DLA SILNIKA</t>
  </si>
  <si>
    <t xml:space="preserve">SURFACE DE L'EMPLACEMENT POUR </t>
  </si>
  <si>
    <t>BENODIGD KADER VOOR MOTOR</t>
  </si>
  <si>
    <t xml:space="preserve">Vajalik ruum mootori paigalduseks </t>
  </si>
  <si>
    <t>KIINNITYSPINTA MOOTORILLE</t>
  </si>
  <si>
    <t xml:space="preserve">монтажная поверхность для мотора </t>
  </si>
  <si>
    <t>NEZBYTNÝ VOLNÝ PROSTOR</t>
  </si>
  <si>
    <t>NECESSARY FREE ROOM</t>
  </si>
  <si>
    <t>BENÖTIGTER FREIRAUM</t>
  </si>
  <si>
    <t>NIEZBĘDNA WOLNA PRZESTRZEŃ</t>
  </si>
  <si>
    <t>ESPACE LIBRE NECCESSARIE</t>
  </si>
  <si>
    <t xml:space="preserve">BENODIGDE VRIJE RUIMTE 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</si>
  <si>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</si>
  <si>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</si>
  <si>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</si>
  <si>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</si>
  <si>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</si>
  <si>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</si>
  <si>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</si>
  <si>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</si>
  <si>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</si>
  <si>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</si>
  <si>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</si>
  <si>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</si>
  <si>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</si>
  <si>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</si>
  <si>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</si>
  <si>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</si>
  <si>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</si>
  <si>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</si>
  <si>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</si>
  <si>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</si>
  <si>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</si>
  <si>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</si>
  <si>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</si>
  <si>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</si>
  <si>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</si>
  <si>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</si>
  <si>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</si>
  <si>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</si>
  <si>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</si>
  <si>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</si>
  <si>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</si>
  <si>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</si>
  <si>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</si>
  <si>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</si>
  <si>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</si>
  <si>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</si>
  <si>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</si>
  <si>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</si>
  <si>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</si>
  <si>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</t>
  </si>
  <si>
    <t>necessary side room for electrical- or hauling chain operation</t>
  </si>
  <si>
    <t xml:space="preserve">Benötigter Freiraum bei Elektro- oder Haspelkettenbedienung </t>
  </si>
  <si>
    <t>niezbędna przestrzeń boczna dla silnika lub napędu łańcuchowego</t>
  </si>
  <si>
    <t>écoinçon minimum requis pour le moteur ou treuil a chaîne</t>
  </si>
  <si>
    <t xml:space="preserve">benodigde vrije ruimte voor elektrische- of ketting bediening </t>
  </si>
  <si>
    <t xml:space="preserve">vajalik küljeruum mootori või tali puhul </t>
  </si>
  <si>
    <t>tarvittava tila mootori- tai ketjunostolle</t>
  </si>
  <si>
    <t xml:space="preserve">необходимое боковое пространство для электропривода или цепного редуктора </t>
  </si>
  <si>
    <t>montážní plocha pro řídící jednotku. Rozměry najdete v dokumentaci ŘJ.</t>
  </si>
  <si>
    <t>Mounting surface for control panel. See product documentation for dimensions</t>
  </si>
  <si>
    <t>Montagefläche für Antriebsteuerung. Siehe Produktdokumentation für Abmessungen</t>
  </si>
  <si>
    <t>Powierzchnia montażowa dla jednostki sterującej. Wymiary można znaleźć w dokumentacji produktu</t>
  </si>
  <si>
    <t>Surface de montage pour le Coffret de commande</t>
  </si>
  <si>
    <t>Montagevlak t.b.v. Zie productdocumentatie voor afmetingen</t>
  </si>
  <si>
    <t>Kontrolli paigaldusala. Vaata toote dokumentatsiooni mõõtmete kohta</t>
  </si>
  <si>
    <t>Kiinnityspinta ohjauspaneelia varten. Katso mitat tuoteasiakirjoista</t>
  </si>
  <si>
    <t>монтажная поверхность для блока управления. Размеры см. в документации на изделие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</si>
  <si>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</si>
  <si>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</si>
  <si>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</si>
  <si>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</si>
  <si>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</si>
  <si>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</si>
  <si>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</si>
  <si>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</si>
  <si>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</si>
  <si>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Zásuvka, parametry najdete v dokumentaci produktu</t>
  </si>
  <si>
    <t>Electric outlet parameters can be found in the product documentation.</t>
  </si>
  <si>
    <t>Die Parameter der Steckdosen sind in der Produktdokumentation zu finden.</t>
  </si>
  <si>
    <t>Parametry gniazdka elektrycznego można znaleźć w dokumentacji produktu.</t>
  </si>
  <si>
    <t>Les paramètres des prises électriques sont indiqués dans la documentation du produit.</t>
  </si>
  <si>
    <t>De parameters van het stopcontact zijn te vinden in de productdocumentatie.</t>
  </si>
  <si>
    <t>Elektripistiku parameetrid leiate toote dokumentatsioonist.</t>
  </si>
  <si>
    <t>Pistorasian parametrit löytyvät tuoteasiakirjoista.</t>
  </si>
  <si>
    <t>Параметры электрической розетки приведены в документации на изделие.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</si>
  <si>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</si>
  <si>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</si>
  <si>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</si>
  <si>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</si>
  <si>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</si>
  <si>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</si>
  <si>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</si>
  <si>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</si>
  <si>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</si>
  <si>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</si>
  <si>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</si>
  <si>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</si>
  <si>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</si>
  <si>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</si>
  <si>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</si>
  <si>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</si>
  <si>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</si>
  <si>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</si>
  <si>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</si>
  <si>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</si>
  <si>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</si>
  <si>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</si>
  <si>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</si>
  <si>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</si>
  <si>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</si>
  <si>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</si>
  <si>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</si>
  <si>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W =</t>
  </si>
  <si>
    <t>F</t>
  </si>
  <si>
    <t>H+400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</si>
  <si>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</si>
  <si>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</si>
  <si>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</si>
  <si>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</si>
  <si>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</si>
  <si>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</si>
  <si>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</si>
  <si>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</si>
  <si>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</si>
  <si>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H =</t>
  </si>
  <si>
    <t>ширина проема</t>
  </si>
  <si>
    <t xml:space="preserve">F = </t>
  </si>
  <si>
    <t>A</t>
  </si>
  <si>
    <t>K.Luňák</t>
  </si>
  <si>
    <t>R. Kříž</t>
  </si>
  <si>
    <t>STP</t>
  </si>
  <si>
    <t>-</t>
  </si>
  <si>
    <t>A3</t>
  </si>
  <si>
    <t>высота проема</t>
  </si>
  <si>
    <t xml:space="preserve">A = </t>
  </si>
  <si>
    <t>D</t>
  </si>
  <si>
    <t>http://door-documents.com/en/indy-installation-drawing-vl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</si>
  <si>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</si>
  <si>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</si>
  <si>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</si>
  <si>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</si>
  <si>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</si>
  <si>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</si>
  <si>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</si>
  <si>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L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</si>
  <si>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</si>
  <si>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</si>
  <si>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</si>
  <si>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</si>
  <si>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</si>
  <si>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</si>
  <si>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</si>
  <si>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</si>
  <si>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</si>
  <si>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R = 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</si>
  <si>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</si>
  <si>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</si>
  <si>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</si>
  <si>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</si>
  <si>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</si>
  <si>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</si>
  <si>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</si>
  <si>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</si>
  <si>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</si>
  <si>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D = 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</si>
  <si>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</si>
  <si>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</si>
  <si>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</si>
  <si>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</si>
  <si>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</si>
  <si>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</si>
  <si>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</si>
  <si>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</si>
  <si>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</si>
  <si>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</si>
  <si>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</si>
  <si>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</si>
  <si>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</si>
  <si>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</si>
  <si>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</si>
  <si>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</si>
  <si>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</si>
  <si>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</si>
  <si>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vpravo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</si>
  <si>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</si>
  <si>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</si>
  <si>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</si>
  <si>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</si>
  <si>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</si>
  <si>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</si>
  <si>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</si>
  <si>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</si>
  <si>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</si>
  <si>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</si>
  <si>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</si>
  <si>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</si>
  <si>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</si>
  <si>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</si>
  <si>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</si>
  <si>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</si>
  <si>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</si>
  <si>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</si>
  <si>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</si>
  <si>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</si>
  <si>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</si>
  <si>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</si>
  <si>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</si>
  <si>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</si>
  <si>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</si>
  <si>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</si>
  <si>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</si>
  <si>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</si>
  <si>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</si>
  <si>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</si>
  <si>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</si>
  <si>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</si>
  <si>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</si>
  <si>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</si>
  <si>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</si>
  <si>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</si>
  <si>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</si>
  <si>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</si>
  <si>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</si>
  <si>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</si>
  <si>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</si>
  <si>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</si>
  <si>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</si>
  <si>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</si>
  <si>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</si>
  <si>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</si>
  <si>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</si>
  <si>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</si>
  <si>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</si>
  <si>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</si>
  <si>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</si>
  <si>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</si>
  <si>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</si>
  <si>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</si>
  <si>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</si>
  <si>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</si>
  <si>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</si>
  <si>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</si>
  <si>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</si>
  <si>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</si>
  <si>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</si>
  <si>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</si>
  <si>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</si>
  <si>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</si>
  <si>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</si>
  <si>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</si>
  <si>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</si>
  <si>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</si>
  <si>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</si>
  <si>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</si>
  <si>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</si>
  <si>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</si>
  <si>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</si>
  <si>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</si>
  <si>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</si>
  <si>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</si>
  <si>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</si>
  <si>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</si>
  <si>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</si>
  <si>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</si>
  <si>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</si>
  <si>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</si>
  <si>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</si>
  <si>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</si>
  <si>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</si>
  <si>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</si>
  <si>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</si>
  <si>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</si>
  <si>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</si>
  <si>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</si>
  <si>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</si>
  <si>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</si>
  <si>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</si>
  <si>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</si>
  <si>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</si>
  <si>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</si>
  <si>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</si>
  <si>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</si>
  <si>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</si>
  <si>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</si>
  <si>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</si>
  <si>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</si>
  <si>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</si>
  <si>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</si>
  <si>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</si>
  <si>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</si>
  <si>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</si>
  <si>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</si>
  <si>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</si>
  <si>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</si>
  <si>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</si>
  <si>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</si>
  <si>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</si>
  <si>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</si>
  <si>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</si>
  <si>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</si>
  <si>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</si>
  <si>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</si>
  <si>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</si>
  <si>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</si>
  <si>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</si>
  <si>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</si>
  <si>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</si>
  <si>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</si>
  <si>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</si>
  <si>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</si>
  <si>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</si>
  <si>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</si>
  <si>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</si>
  <si>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</si>
  <si>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</si>
  <si>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</si>
  <si>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</si>
  <si>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</si>
  <si>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</si>
  <si>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</si>
  <si>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</si>
  <si>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</si>
  <si>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</si>
  <si>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</si>
  <si>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</si>
  <si>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</si>
  <si>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</si>
  <si>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</si>
  <si>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</si>
  <si>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</si>
  <si>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</si>
  <si>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</si>
  <si>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</si>
  <si>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</si>
  <si>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</si>
  <si>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</si>
  <si>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</si>
  <si>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</si>
  <si>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</si>
  <si>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</si>
  <si>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</si>
  <si>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</si>
  <si>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</si>
  <si>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</si>
  <si>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</si>
  <si>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</si>
  <si>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</si>
  <si>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</si>
  <si>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</si>
  <si>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</si>
  <si>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</si>
  <si>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</si>
  <si>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</si>
  <si>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</si>
  <si>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</si>
  <si>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</si>
  <si>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</si>
  <si>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</si>
  <si>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</si>
  <si>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</si>
  <si>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</si>
  <si>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</si>
  <si>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</si>
  <si>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</si>
  <si>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</si>
  <si>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</si>
  <si>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</si>
  <si>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</si>
  <si>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INBOUWTEKENING VERTICAAL PLAFOND SYSTEEM (VL)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</si>
  <si>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</si>
  <si>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</si>
  <si>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</si>
  <si>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</si>
  <si>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</si>
  <si>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</si>
  <si>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</si>
  <si>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</si>
  <si>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</si>
  <si>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STAVEBNÍ PŘIPRAVENOST VERTIKÁLNÍ VEDENÍ (VL)</t>
  </si>
  <si>
    <t>INSTALLATION DRAWING VERTICAL LIFT SYSTEM (VL)</t>
  </si>
  <si>
    <t>BAUBEREITSCHAFT VERTIKALER BESCHLAG (VL)</t>
  </si>
  <si>
    <t>PRZYGOTOWANIE KONSTRUKCYJNE PROWADZENIE PIONOWE (VL)</t>
  </si>
  <si>
    <t>PLAN DE RESERVATIONS &amp; ENCOMBREMENTS LEVEE VERTICALE (VL-L)</t>
  </si>
  <si>
    <t>Paigaldsujoonis vertikaaltõstele (VL)</t>
  </si>
  <si>
    <t>ASENNUSPIIRUSTUS SUORANOSTO (VL)</t>
  </si>
  <si>
    <t>МОНТАЖНЫЙ ЧЕРТЕЖ СИСТЕМА С ВЕРТИКАЛЬНЫМ ПОДЪЕМОМ (VL)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</si>
  <si>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</si>
  <si>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</si>
  <si>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</si>
  <si>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</si>
  <si>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</si>
  <si>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</si>
  <si>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</si>
  <si>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</si>
  <si>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</si>
  <si>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</si>
  <si>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</si>
  <si>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</si>
  <si>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</si>
  <si>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</si>
  <si>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</si>
  <si>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</si>
  <si>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</si>
  <si>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</si>
  <si>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</si>
  <si>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</si>
  <si>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</si>
  <si>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</si>
  <si>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</si>
  <si>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vajalik: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</si>
  <si>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</si>
  <si>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</si>
  <si>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</si>
  <si>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</si>
  <si>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</si>
  <si>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</si>
  <si>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</si>
  <si>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</si>
  <si>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</si>
  <si>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</si>
  <si>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</si>
  <si>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</si>
  <si>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</si>
  <si>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</si>
  <si>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</si>
  <si>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</si>
  <si>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</si>
  <si>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</si>
  <si>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</si>
  <si>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</si>
  <si>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</si>
  <si>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</si>
  <si>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</si>
  <si>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</si>
  <si>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</si>
  <si>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</si>
  <si>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</si>
  <si>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</si>
  <si>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</si>
  <si>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</si>
  <si>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</si>
  <si>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</si>
  <si>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</si>
  <si>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</si>
  <si>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</si>
  <si>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 vlevo</t>
  </si>
  <si>
    <t>hauling chain operated - left</t>
  </si>
  <si>
    <t>Haspelkette - links</t>
  </si>
  <si>
    <t>Łańcuch napędu -  lewy</t>
  </si>
  <si>
    <t>TREUIL A CHAINE - gauche</t>
  </si>
  <si>
    <t>handketting - links</t>
  </si>
  <si>
    <t>taliga - vasakule</t>
  </si>
  <si>
    <t>ketjukäyttöinen - vasen</t>
  </si>
  <si>
    <t xml:space="preserve">цепной привод -  левый
</t>
  </si>
  <si>
    <t>řetězovým převodem vpravo</t>
  </si>
  <si>
    <t>hauling chain operated - right</t>
  </si>
  <si>
    <t>Haspelkette - rechts</t>
  </si>
  <si>
    <t>Łańcuch napędu -  prawy</t>
  </si>
  <si>
    <t>TREUIL A CHAINE - droite</t>
  </si>
  <si>
    <t>handketting - rechts</t>
  </si>
  <si>
    <t>taliga - paremale</t>
  </si>
  <si>
    <t>ketjukäyttöinen - oikea</t>
  </si>
  <si>
    <t>цепной привод -  правая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</si>
  <si>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</si>
  <si>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</si>
  <si>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</si>
  <si>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</si>
  <si>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</si>
  <si>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</si>
  <si>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</si>
  <si>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</si>
  <si>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</si>
  <si>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Elektricky - motor vlevo</t>
  </si>
  <si>
    <t>electric motor on the left</t>
  </si>
  <si>
    <t>Antrieb - links</t>
  </si>
  <si>
    <t>silnik elektryczny po lewej stronie</t>
  </si>
  <si>
    <t>moteur électrique à gauche</t>
  </si>
  <si>
    <t>elektromotor links</t>
  </si>
  <si>
    <t>elektrimootor vasakul</t>
  </si>
  <si>
    <t>sähkömoottori oikealla</t>
  </si>
  <si>
    <t>электродвигатель слева</t>
  </si>
  <si>
    <t>Elektricky - motor vpravo</t>
  </si>
  <si>
    <t>electric motor on the right</t>
  </si>
  <si>
    <t>Antrieb - rechts</t>
  </si>
  <si>
    <t>silnik elektryczny po prawej stronie</t>
  </si>
  <si>
    <t>moteur électrique à droite</t>
  </si>
  <si>
    <t>elektromotor rechts</t>
  </si>
  <si>
    <t>elektrimootor paremal</t>
  </si>
  <si>
    <t>sähkömoottori vasemmalla</t>
  </si>
  <si>
    <t>электродвигатель справа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</si>
  <si>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</si>
  <si>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</si>
  <si>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</si>
  <si>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</si>
  <si>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</si>
  <si>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</si>
  <si>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W&lt;2000 -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</si>
  <si>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</si>
  <si>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</si>
  <si>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</si>
  <si>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</si>
  <si>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</si>
  <si>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</si>
  <si>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</si>
  <si>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</si>
  <si>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</si>
  <si>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</si>
  <si>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</si>
  <si>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</si>
  <si>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</si>
  <si>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</si>
  <si>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</si>
  <si>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</si>
  <si>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</si>
  <si>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když H=&lt;3300</t>
  </si>
  <si>
    <t>if H=&lt;3300</t>
  </si>
  <si>
    <t>Wenn H=&lt;3300</t>
  </si>
  <si>
    <t>jeżeli H=&lt;3300</t>
  </si>
  <si>
    <t>SI H=&lt;3300</t>
  </si>
  <si>
    <t>als H=&lt;3300</t>
  </si>
  <si>
    <t>Kui  H=&lt;3300</t>
  </si>
  <si>
    <t>jos H=&lt;3300</t>
  </si>
  <si>
    <t>при H=&lt;3300</t>
  </si>
  <si>
    <t>když 3300&lt;H=&lt;5950</t>
  </si>
  <si>
    <t>if 3300&lt;H=&lt;5950</t>
  </si>
  <si>
    <t>Wenn 3300&lt;H=&lt;5950</t>
  </si>
  <si>
    <t>jeżeli 3300&lt;H=&lt;5950</t>
  </si>
  <si>
    <t>SI 3300&lt;H=&lt;5950</t>
  </si>
  <si>
    <t>als 3300&lt;H=&lt;5950</t>
  </si>
  <si>
    <t>kui 3300&lt;H=&lt;5950</t>
  </si>
  <si>
    <t>jos 3300&lt;H=&lt;5950</t>
  </si>
  <si>
    <t>при 3300&lt;H=&lt;5950</t>
  </si>
  <si>
    <t>když H=&gt;5950</t>
  </si>
  <si>
    <t>if H=&gt;5950</t>
  </si>
  <si>
    <t>Wenn H=&gt;5950</t>
  </si>
  <si>
    <t>jeżeli H=&gt;5950</t>
  </si>
  <si>
    <t>SI H=&gt;5950</t>
  </si>
  <si>
    <t>als H=&gt;5950</t>
  </si>
  <si>
    <t>Kui H=&gt;5950</t>
  </si>
  <si>
    <t>jos H=&gt;5950</t>
  </si>
  <si>
    <t>при H=&gt;5950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</si>
  <si>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</si>
  <si>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</si>
  <si>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</si>
  <si>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</si>
  <si>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</si>
  <si>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</si>
  <si>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</si>
  <si>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</si>
  <si>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</si>
  <si>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</si>
  <si>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</si>
  <si>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</si>
  <si>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</si>
  <si>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</si>
  <si>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</si>
  <si>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</si>
  <si>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</si>
  <si>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</si>
  <si>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</si>
  <si>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</si>
  <si>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</si>
  <si>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</si>
  <si>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</si>
  <si>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</si>
  <si>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osa hřídele H+180 mm</t>
  </si>
  <si>
    <t>When 1 1/4 "shaft, axis of shaft is automatically H + 180 mm</t>
  </si>
  <si>
    <t>Wenn 1 1/4 "Welle und Wellenachse H + 180 mm</t>
  </si>
  <si>
    <t>Po 1 1/4 "Wał i osi wału H + 180 mm</t>
  </si>
  <si>
    <t>Lorsque 1 1/4 "arbre et axe de l'arbre H + 180 mm</t>
  </si>
  <si>
    <t>Wanneer 1 1/4 "as en as H + 180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</si>
  <si>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</si>
  <si>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</si>
  <si>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</si>
  <si>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</si>
  <si>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</si>
  <si>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</si>
  <si>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</si>
  <si>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</si>
  <si>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</si>
  <si>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</si>
  <si>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</si>
  <si>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</si>
  <si>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</si>
  <si>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</si>
  <si>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Nabídka/Objednávka:</t>
  </si>
  <si>
    <t>Offer/Order:</t>
  </si>
  <si>
    <t>Angebot/Bestellung:</t>
  </si>
  <si>
    <t>Oferta/Zamówienie:</t>
  </si>
  <si>
    <t>Offre/Commande:</t>
  </si>
  <si>
    <t>Offerte/Order:</t>
  </si>
  <si>
    <t>Pakkumine/tellimus:</t>
  </si>
  <si>
    <t>Tarjous/Tilaus</t>
  </si>
  <si>
    <t>Предложение/заказ:</t>
  </si>
  <si>
    <t>Pozice:</t>
  </si>
  <si>
    <t>Position:</t>
  </si>
  <si>
    <t>Pozycje:</t>
  </si>
  <si>
    <t>Positions:</t>
  </si>
  <si>
    <t>Positie:</t>
  </si>
  <si>
    <t>Ametikohad:</t>
  </si>
  <si>
    <t>Työpaikat:</t>
  </si>
  <si>
    <t>Позиции:</t>
  </si>
  <si>
    <t>Pro pojistku při prasknutí lanka s oranžovým krytem minimální boční prostor (L a R) min. 145mm</t>
  </si>
  <si>
    <t>For cable break device with orange cover  side space (L and R) min. 145mm</t>
  </si>
  <si>
    <t>Für Seilbruchsicher mit orangefarbenem Deckel Seitenabstand (L und R) min. 145mm</t>
  </si>
  <si>
    <t>Dla przerywacza kabla z pomarańczową osłoną odstęp boczny (L i R) min. 145 mm</t>
  </si>
  <si>
    <t>Pour les dispositifs de coupure de câble avec couvercle orange espace latéral (G et D) min. 145mm</t>
  </si>
  <si>
    <t>Voor kabelbreekapparaat met oranje afdekking Zijruimte (L en R) min. 145 mm</t>
  </si>
  <si>
    <t>Oranži kattega kaablikatkestusseadme jaoks külgmised ruumid (L ja R) min. 145mm</t>
  </si>
  <si>
    <t>Kaapelin katkaisulaitteelle, jossa on oranssi kansi Sivutila (L ja R) min. 145mm.</t>
  </si>
  <si>
    <t>Для устройства разрыва кабеля с оранжевой крышкой боковое пространство (L и R) мин. 145 мм</t>
  </si>
  <si>
    <t>Strana motoru</t>
  </si>
  <si>
    <t xml:space="preserve">Motor side </t>
  </si>
  <si>
    <t xml:space="preserve">Antriebseite </t>
  </si>
  <si>
    <t xml:space="preserve">Strona silnika </t>
  </si>
  <si>
    <t xml:space="preserve">Côté moteur </t>
  </si>
  <si>
    <t xml:space="preserve">Motorzijde </t>
  </si>
  <si>
    <t xml:space="preserve">Mootori pool </t>
  </si>
  <si>
    <t xml:space="preserve">Moottorin puoli </t>
  </si>
  <si>
    <t xml:space="preserve">Сторона двигателя </t>
  </si>
  <si>
    <t>Druhá strana</t>
  </si>
  <si>
    <t>Other side</t>
  </si>
  <si>
    <t xml:space="preserve">Andere Seite </t>
  </si>
  <si>
    <t xml:space="preserve">Druga strona </t>
  </si>
  <si>
    <t xml:space="preserve">Autre côté </t>
  </si>
  <si>
    <t xml:space="preserve">Andere kant </t>
  </si>
  <si>
    <t xml:space="preserve">Teine pool </t>
  </si>
  <si>
    <t xml:space="preserve">Muu puoli </t>
  </si>
  <si>
    <t xml:space="preserve">Другая сторона </t>
  </si>
  <si>
    <t>Pomocné výpočty</t>
  </si>
  <si>
    <t>L=</t>
  </si>
  <si>
    <t>R=</t>
  </si>
  <si>
    <t>W=</t>
  </si>
  <si>
    <t xml:space="preserve">L+W+R = </t>
  </si>
  <si>
    <t xml:space="preserve">HL </t>
  </si>
  <si>
    <t>HL 4100</t>
  </si>
  <si>
    <t>Leva strana dole</t>
  </si>
  <si>
    <t>I32</t>
  </si>
  <si>
    <t>AB16</t>
  </si>
  <si>
    <t>Pravo dole</t>
  </si>
  <si>
    <t>I33</t>
  </si>
  <si>
    <t>AB17</t>
  </si>
  <si>
    <t xml:space="preserve">Kota dole </t>
  </si>
  <si>
    <t>I34</t>
  </si>
  <si>
    <t>AB18</t>
  </si>
  <si>
    <t xml:space="preserve">V pravo </t>
  </si>
  <si>
    <t>I35</t>
  </si>
  <si>
    <t>AB19</t>
  </si>
  <si>
    <t>V levo</t>
  </si>
  <si>
    <t>I36</t>
  </si>
  <si>
    <t>AB20</t>
  </si>
  <si>
    <t>40mm nebo 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</si>
</sst>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rgb="FFFFA74F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indexed="18"/>
      <name val="Calibri"/>
      <family val="2"/>
      <charset val="238"/>
    </font>
    <font>
      <sz val="12"/>
      <color rgb="FF222222"/>
      <name val="Arial"/>
      <family val="2"/>
      <charset val="238"/>
    </font>
    <font>
      <sz val="10"/>
      <color indexed="8"/>
      <name val="Arial Unicode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1" applyFont="1"/>
    <xf numFmtId="0" fontId="0" fillId="3" borderId="0" xfId="0" applyFill="1"/>
    <xf numFmtId="0" fontId="7" fillId="0" borderId="0" xfId="0" applyFont="1"/>
    <xf numFmtId="0" fontId="5" fillId="4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0" xfId="0" applyFont="1" applyFill="1"/>
    <xf numFmtId="0" fontId="0" fillId="4" borderId="0" xfId="0" applyFill="1" applyAlignment="1" applyProtection="1">
      <alignment horizontal="center"/>
      <protection locked="0"/>
    </xf>
    <xf numFmtId="0" fontId="10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/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textRotation="90"/>
    </xf>
    <xf numFmtId="0" fontId="12" fillId="0" borderId="0" xfId="0" applyFont="1" applyAlignment="1">
      <alignment vertical="center" textRotation="90"/>
    </xf>
    <xf numFmtId="0" fontId="12" fillId="0" borderId="0" xfId="0" applyFont="1" applyAlignment="1">
      <alignment textRotation="90"/>
    </xf>
    <xf numFmtId="0" fontId="11" fillId="0" borderId="0" xfId="0" applyFont="1" applyAlignment="1">
      <alignment vertical="center" textRotation="9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textRotation="9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1" fillId="0" borderId="0" xfId="0" applyFont="1" applyAlignment="1">
      <alignment horizontal="left" textRotation="90"/>
    </xf>
    <xf numFmtId="0" fontId="16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0" applyFont="1"/>
    <xf numFmtId="0" fontId="1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wrapText="1"/>
    </xf>
    <xf numFmtId="0" fontId="18" fillId="0" borderId="0" xfId="0" applyFont="1"/>
    <xf numFmtId="0" fontId="0" fillId="0" borderId="12" xfId="0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9" fillId="0" borderId="12" xfId="0" applyFont="1" applyBorder="1"/>
    <xf numFmtId="0" fontId="19" fillId="0" borderId="0" xfId="0" applyFont="1"/>
    <xf numFmtId="0" fontId="9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/>
    </xf>
    <xf numFmtId="0" fontId="0" fillId="0" borderId="11" xfId="0" applyBorder="1"/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5" fillId="0" borderId="11" xfId="0" applyFont="1" applyBorder="1"/>
    <xf numFmtId="0" fontId="5" fillId="0" borderId="0" xfId="1" applyFont="1"/>
    <xf numFmtId="0" fontId="2" fillId="0" borderId="11" xfId="0" applyFont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20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3" borderId="16" xfId="0" applyFill="1" applyBorder="1"/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right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0" fillId="0" borderId="13" xfId="0" applyFont="1" applyBorder="1"/>
    <xf numFmtId="0" fontId="20" fillId="0" borderId="14" xfId="0" applyFont="1" applyBorder="1"/>
    <xf numFmtId="49" fontId="0" fillId="0" borderId="14" xfId="0" applyNumberFormat="1" applyBorder="1"/>
    <xf numFmtId="0" fontId="20" fillId="0" borderId="11" xfId="0" applyFont="1" applyBorder="1"/>
    <xf numFmtId="0" fontId="1" fillId="0" borderId="16" xfId="0" applyFont="1" applyBorder="1" applyAlignment="1">
      <alignment vertical="center"/>
    </xf>
    <xf numFmtId="0" fontId="20" fillId="0" borderId="14" xfId="0" applyFont="1" applyBorder="1" applyAlignment="1">
      <alignment horizontal="left"/>
    </xf>
    <xf numFmtId="0" fontId="20" fillId="0" borderId="1" xfId="0" applyFont="1" applyBorder="1"/>
    <xf numFmtId="0" fontId="20" fillId="0" borderId="0" xfId="0" applyFont="1"/>
    <xf numFmtId="49" fontId="0" fillId="0" borderId="0" xfId="0" applyNumberFormat="1"/>
    <xf numFmtId="0" fontId="20" fillId="0" borderId="15" xfId="0" applyFont="1" applyBorder="1"/>
    <xf numFmtId="0" fontId="1" fillId="0" borderId="18" xfId="0" applyFont="1" applyBorder="1" applyAlignment="1">
      <alignment vertical="center"/>
    </xf>
    <xf numFmtId="0" fontId="20" fillId="0" borderId="1" xfId="0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0" fillId="3" borderId="4" xfId="0" applyFill="1" applyBorder="1"/>
    <xf numFmtId="0" fontId="0" fillId="0" borderId="13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2" fillId="0" borderId="11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22" fillId="0" borderId="0" xfId="0" applyFont="1"/>
    <xf numFmtId="0" fontId="23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wrapText="1"/>
    </xf>
    <xf numFmtId="0" fontId="0" fillId="7" borderId="0" xfId="0" applyFill="1"/>
    <xf numFmtId="0" fontId="0" fillId="8" borderId="0" xfId="0" applyFill="1"/>
    <xf numFmtId="0" fontId="26" fillId="0" borderId="0" xfId="0" applyFont="1"/>
    <xf numFmtId="0" fontId="27" fillId="0" borderId="0" xfId="0" applyFont="1"/>
    <xf numFmtId="0" fontId="0" fillId="0" borderId="6" xfId="0" applyBorder="1"/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vertical="center" textRotation="90"/>
    </xf>
    <xf numFmtId="0" fontId="12" fillId="0" borderId="12" xfId="0" applyFont="1" applyBorder="1" applyAlignment="1">
      <alignment textRotation="90"/>
    </xf>
    <xf numFmtId="0" fontId="0" fillId="0" borderId="22" xfId="0" applyBorder="1"/>
    <xf numFmtId="0" fontId="0" fillId="0" borderId="23" xfId="0" applyBorder="1"/>
    <xf numFmtId="0" fontId="0" fillId="0" borderId="0" xfId="0" applyAlignment="1">
      <alignment vertical="center"/>
    </xf>
    <xf numFmtId="0" fontId="2" fillId="0" borderId="22" xfId="0" applyFont="1" applyBorder="1" applyAlignment="1">
      <alignment horizontal="left"/>
    </xf>
    <xf numFmtId="0" fontId="5" fillId="0" borderId="22" xfId="0" applyFont="1" applyBorder="1"/>
    <xf numFmtId="0" fontId="2" fillId="0" borderId="22" xfId="0" applyFont="1" applyBorder="1"/>
    <xf numFmtId="0" fontId="0" fillId="0" borderId="0" xfId="0" applyAlignment="1">
      <alignment horizontal="center" vertical="center" textRotation="90"/>
    </xf>
    <xf numFmtId="0" fontId="16" fillId="0" borderId="22" xfId="0" applyFont="1" applyBorder="1" applyAlignment="1">
      <alignment horizontal="left"/>
    </xf>
    <xf numFmtId="0" fontId="2" fillId="0" borderId="0" xfId="0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8" fillId="0" borderId="0" xfId="0" applyFont="1"/>
    <xf numFmtId="0" fontId="0" fillId="0" borderId="27" xfId="0" applyBorder="1"/>
    <xf numFmtId="0" fontId="0" fillId="0" borderId="0" xfId="0" applyAlignment="1">
      <alignment vertical="center" textRotation="9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wrapText="1" shrinkToFit="1"/>
    </xf>
    <xf numFmtId="0" fontId="21" fillId="0" borderId="6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4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 vertical="center" textRotation="90"/>
    </xf>
    <xf numFmtId="0" fontId="16" fillId="6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textRotation="90"/>
    </xf>
    <xf numFmtId="0" fontId="12" fillId="0" borderId="0" xfId="0" applyFont="1" applyAlignment="1">
      <alignment horizontal="center" textRotation="90"/>
    </xf>
    <xf numFmtId="0" fontId="12" fillId="0" borderId="12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 wrapText="1"/>
    </xf>
    <xf numFmtId="0" fontId="12" fillId="0" borderId="12" xfId="0" applyFont="1" applyBorder="1" applyAlignment="1">
      <alignment horizontal="right" textRotation="90"/>
    </xf>
    <xf numFmtId="0" fontId="11" fillId="0" borderId="0" xfId="0" applyFont="1" applyAlignment="1">
      <alignment horizontal="left" textRotation="90"/>
    </xf>
    <xf numFmtId="0" fontId="1" fillId="0" borderId="0" xfId="0" applyFont="1" applyAlignment="1">
      <alignment horizontal="right" vertical="center" textRotation="90"/>
    </xf>
    <xf numFmtId="0" fontId="11" fillId="0" borderId="0" xfId="0" applyFont="1" applyAlignment="1">
      <alignment horizontal="left" vertical="center" textRotation="90"/>
    </xf>
    <xf numFmtId="0" fontId="11" fillId="0" borderId="0" xfId="0" applyFont="1" applyAlignment="1">
      <alignment horizontal="right" vertical="top" textRotation="90"/>
    </xf>
    <xf numFmtId="0" fontId="15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top" textRotation="90"/>
    </xf>
    <xf numFmtId="0" fontId="11" fillId="0" borderId="0" xfId="0" applyFont="1" applyAlignment="1">
      <alignment horizontal="right" textRotation="90"/>
    </xf>
    <xf numFmtId="0" fontId="11" fillId="0" borderId="0" xfId="0" applyFont="1" applyAlignment="1">
      <alignment horizontal="center" vertical="center" textRotation="90"/>
    </xf>
    <xf numFmtId="0" fontId="0" fillId="6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indent="3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right"/>
    </xf>
    <xf numFmtId="0" fontId="0" fillId="4" borderId="0" xfId="0" applyFill="1" applyAlignment="1" applyProtection="1">
      <alignment horizontal="center"/>
      <protection locked="0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textRotation="90"/>
    </xf>
    <xf numFmtId="0" fontId="0" fillId="0" borderId="16" xfId="0" applyBorder="1" applyAlignment="1" applyProtection="1">
      <alignment horizontal="center"/>
      <protection locked="0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ální_List1" xfId="1" xr:uid="{D12DF533-D99C-4920-A918-BADBA72D031F}"/>
    <cellStyle name="Standard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657225</xdr:colOff>
      <xdr:row>12</xdr:row>
      <xdr:rowOff>219075</xdr:rowOff>
    </xdr:from>
    <xdr:to>
      <xdr:col>18</xdr:col>
      <xdr:colOff>123825</xdr:colOff>
      <xdr:row>35</xdr:row>
      <xdr:rowOff>123825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78C77CC-8E5E-415C-A315-5A5D42DF6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086100"/>
          <a:ext cx="1790700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485775</xdr:colOff>
      <xdr:row>47</xdr:row>
      <xdr:rowOff>19050</xdr:rowOff>
    </xdr:to>
    <xdr:pic>
      <xdr:nvPicPr>
        <xdr:cNvPr id="3" name="Picture 249">
          <a:extLst>
            <a:ext uri="{FF2B5EF4-FFF2-40B4-BE49-F238E27FC236}">
              <a16:creationId xmlns:a16="http://schemas.microsoft.com/office/drawing/2014/main" id="{05433C57-BEAB-481F-9E2C-F2B1D7DE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0858500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514350</xdr:colOff>
      <xdr:row>45</xdr:row>
      <xdr:rowOff>47625</xdr:rowOff>
    </xdr:to>
    <xdr:pic>
      <xdr:nvPicPr>
        <xdr:cNvPr id="4" name="Picture 250">
          <a:extLst>
            <a:ext uri="{FF2B5EF4-FFF2-40B4-BE49-F238E27FC236}">
              <a16:creationId xmlns:a16="http://schemas.microsoft.com/office/drawing/2014/main" id="{6450BC79-8EE5-402E-853E-C83579E2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0477500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470087</xdr:colOff>
      <xdr:row>46</xdr:row>
      <xdr:rowOff>9524</xdr:rowOff>
    </xdr:from>
    <xdr:to>
      <xdr:col>22</xdr:col>
      <xdr:colOff>574862</xdr:colOff>
      <xdr:row>47</xdr:row>
      <xdr:rowOff>39780</xdr:rowOff>
    </xdr:to>
    <xdr:pic>
      <xdr:nvPicPr>
        <xdr:cNvPr id="5" name="Picture 251">
          <a:extLst>
            <a:ext uri="{FF2B5EF4-FFF2-40B4-BE49-F238E27FC236}">
              <a16:creationId xmlns:a16="http://schemas.microsoft.com/office/drawing/2014/main" id="{67C4B5D1-1EDF-41D1-A3C0-ADB5E39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4237" y="10896599"/>
          <a:ext cx="71437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430383</xdr:colOff>
      <xdr:row>37</xdr:row>
      <xdr:rowOff>65942</xdr:rowOff>
    </xdr:from>
    <xdr:to>
      <xdr:col>2</xdr:col>
      <xdr:colOff>626481</xdr:colOff>
      <xdr:row>37</xdr:row>
      <xdr:rowOff>111661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688B5867-1C12-4179-80A0-E3888522FD31}"/>
            </a:ext>
          </a:extLst>
        </xdr:cNvPr>
        <xdr:cNvSpPr/>
      </xdr:nvSpPr>
      <xdr:spPr>
        <a:xfrm>
          <a:off x="1220958" y="9152792"/>
          <a:ext cx="196098" cy="4571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9</xdr:col>
      <xdr:colOff>657225</xdr:colOff>
      <xdr:row>37</xdr:row>
      <xdr:rowOff>95250</xdr:rowOff>
    </xdr:from>
    <xdr:to>
      <xdr:col>12</xdr:col>
      <xdr:colOff>66675</xdr:colOff>
      <xdr:row>47</xdr:row>
      <xdr:rowOff>66675</xdr:rowOff>
    </xdr:to>
    <xdr:grpSp>
      <xdr:nvGrpSpPr>
        <xdr:cNvPr id="7" name="Skupina 9">
          <a:extLst>
            <a:ext uri="{FF2B5EF4-FFF2-40B4-BE49-F238E27FC236}">
              <a16:creationId xmlns:a16="http://schemas.microsoft.com/office/drawing/2014/main" id="{5A6BF59F-3057-4DAC-9869-3D25703510A8}"/>
            </a:ext>
          </a:extLst>
        </xdr:cNvPr>
        <xdr:cNvGrpSpPr>
          <a:grpSpLocks/>
        </xdr:cNvGrpSpPr>
      </xdr:nvGrpSpPr>
      <xdr:grpSpPr bwMode="auto">
        <a:xfrm>
          <a:off x="6772275" y="9182100"/>
          <a:ext cx="1895475" cy="1962150"/>
          <a:chOff x="5595714" y="8462506"/>
          <a:chExt cx="2207432" cy="2483472"/>
        </a:xfrm>
      </xdr:grpSpPr>
      <xdr:pic>
        <xdr:nvPicPr>
          <xdr:cNvPr id="8" name="Obrázek 5">
            <a:extLst>
              <a:ext uri="{FF2B5EF4-FFF2-40B4-BE49-F238E27FC236}">
                <a16:creationId xmlns:a16="http://schemas.microsoft.com/office/drawing/2014/main" id="{5D2FB08D-16E1-CC47-258B-70CE299F35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ovéPole 8">
            <a:extLst>
              <a:ext uri="{FF2B5EF4-FFF2-40B4-BE49-F238E27FC236}">
                <a16:creationId xmlns:a16="http://schemas.microsoft.com/office/drawing/2014/main" id="{0F0BBEBC-8AAB-192C-B879-0CD69FDCC81C}"/>
              </a:ext>
            </a:extLst>
          </xdr:cNvPr>
          <xdr:cNvSpPr txBox="1"/>
        </xdr:nvSpPr>
        <xdr:spPr>
          <a:xfrm>
            <a:off x="6929371" y="8462506"/>
            <a:ext cx="873775" cy="7595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0" name="Obrázek 8">
            <a:extLst>
              <a:ext uri="{FF2B5EF4-FFF2-40B4-BE49-F238E27FC236}">
                <a16:creationId xmlns:a16="http://schemas.microsoft.com/office/drawing/2014/main" id="{B694D06F-5A9D-2D44-5172-6CF90212E3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561975</xdr:colOff>
      <xdr:row>3</xdr:row>
      <xdr:rowOff>28575</xdr:rowOff>
    </xdr:from>
    <xdr:to>
      <xdr:col>26</xdr:col>
      <xdr:colOff>114300</xdr:colOff>
      <xdr:row>21</xdr:row>
      <xdr:rowOff>152400</xdr:rowOff>
    </xdr:to>
    <xdr:grpSp>
      <xdr:nvGrpSpPr>
        <xdr:cNvPr id="11" name="Skupina 8">
          <a:extLst>
            <a:ext uri="{FF2B5EF4-FFF2-40B4-BE49-F238E27FC236}">
              <a16:creationId xmlns:a16="http://schemas.microsoft.com/office/drawing/2014/main" id="{596BEC08-0F17-44F9-B85A-F50F6B3EBBE2}"/>
            </a:ext>
          </a:extLst>
        </xdr:cNvPr>
        <xdr:cNvGrpSpPr>
          <a:grpSpLocks/>
        </xdr:cNvGrpSpPr>
      </xdr:nvGrpSpPr>
      <xdr:grpSpPr bwMode="auto">
        <a:xfrm>
          <a:off x="14716125" y="676275"/>
          <a:ext cx="2781300" cy="4343400"/>
          <a:chOff x="14400068" y="805294"/>
          <a:chExt cx="2763788" cy="4372842"/>
        </a:xfrm>
      </xdr:grpSpPr>
      <xdr:pic>
        <xdr:nvPicPr>
          <xdr:cNvPr id="12" name="Obrázek 7">
            <a:extLst>
              <a:ext uri="{FF2B5EF4-FFF2-40B4-BE49-F238E27FC236}">
                <a16:creationId xmlns:a16="http://schemas.microsoft.com/office/drawing/2014/main" id="{DECAB5F2-2193-3D28-85CE-048701D4CD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00068" y="805294"/>
            <a:ext cx="2763788" cy="4372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3" name="Skupina 10">
            <a:extLst>
              <a:ext uri="{FF2B5EF4-FFF2-40B4-BE49-F238E27FC236}">
                <a16:creationId xmlns:a16="http://schemas.microsoft.com/office/drawing/2014/main" id="{BEDFBF7D-A8B0-0A9E-DF65-D56927BAF80C}"/>
              </a:ext>
            </a:extLst>
          </xdr:cNvPr>
          <xdr:cNvGrpSpPr>
            <a:grpSpLocks/>
          </xdr:cNvGrpSpPr>
        </xdr:nvGrpSpPr>
        <xdr:grpSpPr bwMode="auto">
          <a:xfrm>
            <a:off x="15069785" y="4188240"/>
            <a:ext cx="807711" cy="778462"/>
            <a:chOff x="15864955" y="3893912"/>
            <a:chExt cx="779480" cy="735221"/>
          </a:xfrm>
        </xdr:grpSpPr>
        <xdr:sp macro="" textlink="">
          <xdr:nvSpPr>
            <xdr:cNvPr id="14" name="Ovál 13">
              <a:extLst>
                <a:ext uri="{FF2B5EF4-FFF2-40B4-BE49-F238E27FC236}">
                  <a16:creationId xmlns:a16="http://schemas.microsoft.com/office/drawing/2014/main" id="{1790C8D0-F581-48E0-D1C6-10DAF703A107}"/>
                </a:ext>
              </a:extLst>
            </xdr:cNvPr>
            <xdr:cNvSpPr/>
          </xdr:nvSpPr>
          <xdr:spPr>
            <a:xfrm>
              <a:off x="15867175" y="3977474"/>
              <a:ext cx="630260" cy="652096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5" name="TextovéPole 14">
              <a:extLst>
                <a:ext uri="{FF2B5EF4-FFF2-40B4-BE49-F238E27FC236}">
                  <a16:creationId xmlns:a16="http://schemas.microsoft.com/office/drawing/2014/main" id="{FAD08F16-07D4-456E-8DA4-0857EEB376E5}"/>
                </a:ext>
              </a:extLst>
            </xdr:cNvPr>
            <xdr:cNvSpPr txBox="1"/>
          </xdr:nvSpPr>
          <xdr:spPr>
            <a:xfrm>
              <a:off x="16460898" y="3895962"/>
              <a:ext cx="182684" cy="2354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 editAs="oneCell">
    <xdr:from>
      <xdr:col>21</xdr:col>
      <xdr:colOff>330574</xdr:colOff>
      <xdr:row>23</xdr:row>
      <xdr:rowOff>46505</xdr:rowOff>
    </xdr:from>
    <xdr:to>
      <xdr:col>23</xdr:col>
      <xdr:colOff>549649</xdr:colOff>
      <xdr:row>37</xdr:row>
      <xdr:rowOff>162485</xdr:rowOff>
    </xdr:to>
    <xdr:pic>
      <xdr:nvPicPr>
        <xdr:cNvPr id="16" name="Obrázek 6">
          <a:extLst>
            <a:ext uri="{FF2B5EF4-FFF2-40B4-BE49-F238E27FC236}">
              <a16:creationId xmlns:a16="http://schemas.microsoft.com/office/drawing/2014/main" id="{4E97FF50-769A-4F49-9AE4-60F8DD9C2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4724" y="5542430"/>
          <a:ext cx="1438275" cy="370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586627</xdr:colOff>
      <xdr:row>38</xdr:row>
      <xdr:rowOff>42583</xdr:rowOff>
    </xdr:from>
    <xdr:to>
      <xdr:col>6</xdr:col>
      <xdr:colOff>148477</xdr:colOff>
      <xdr:row>43</xdr:row>
      <xdr:rowOff>52108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7677EF2A-C01A-438C-BF38-BDC9A02E3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602" y="9329458"/>
          <a:ext cx="3048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238125</xdr:colOff>
          <xdr:row>13</xdr:row>
          <xdr:rowOff>152400</xdr:rowOff>
        </xdr:from>
        <xdr:to>
          <xdr:col>6</xdr:col>
          <xdr:colOff>419100</xdr:colOff>
          <xdr:row>35</xdr:row>
          <xdr:rowOff>333375</xdr:rowOff>
        </xdr:to>
        <xdr:pic>
          <xdr:nvPicPr>
            <xdr:cNvPr id="18" name="Obrázek 17">
              <a:extLst>
                <a:ext uri="{FF2B5EF4-FFF2-40B4-BE49-F238E27FC236}">
                  <a16:creationId xmlns:a16="http://schemas.microsoft.com/office/drawing/2014/main" id="{1951FAD1-26D1-4C22-BC0B-56D8E5C4F6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otor" spid="_x0000_s1026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419100" y="3257550"/>
              <a:ext cx="3667125" cy="5162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5</xdr:col>
      <xdr:colOff>657224</xdr:colOff>
      <xdr:row>34</xdr:row>
      <xdr:rowOff>85725</xdr:rowOff>
    </xdr:from>
    <xdr:ext cx="723901" cy="247184"/>
    <xdr:sp macro="" textlink="$F$65">
      <xdr:nvSpPr>
        <xdr:cNvPr id="19" name="TextovéPole 18">
          <a:extLst>
            <a:ext uri="{FF2B5EF4-FFF2-40B4-BE49-F238E27FC236}">
              <a16:creationId xmlns:a16="http://schemas.microsoft.com/office/drawing/2014/main" id="{485EF40E-E313-4F3D-8C2E-30EB2166A94E}"/>
            </a:ext>
          </a:extLst>
        </xdr:cNvPr>
        <xdr:cNvSpPr txBox="1"/>
      </xdr:nvSpPr>
      <xdr:spPr>
        <a:xfrm>
          <a:off x="3533774" y="7972425"/>
          <a:ext cx="723901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8B931A1-3AF5-414B-8982-AA0FA1F9C3B5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R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211231</xdr:colOff>
      <xdr:row>34</xdr:row>
      <xdr:rowOff>100292</xdr:rowOff>
    </xdr:from>
    <xdr:ext cx="723901" cy="247184"/>
    <xdr:sp macro="" textlink="$F$64">
      <xdr:nvSpPr>
        <xdr:cNvPr id="20" name="TextovéPole 19">
          <a:extLst>
            <a:ext uri="{FF2B5EF4-FFF2-40B4-BE49-F238E27FC236}">
              <a16:creationId xmlns:a16="http://schemas.microsoft.com/office/drawing/2014/main" id="{58B89F4E-2FEE-4B9B-BCF8-E8287E3B1FDB}"/>
            </a:ext>
          </a:extLst>
        </xdr:cNvPr>
        <xdr:cNvSpPr txBox="1"/>
      </xdr:nvSpPr>
      <xdr:spPr>
        <a:xfrm>
          <a:off x="392206" y="7986992"/>
          <a:ext cx="723901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9B5A7FD-134F-4A66-9E2F-BC27596838EA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L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212054</xdr:colOff>
      <xdr:row>25</xdr:row>
      <xdr:rowOff>200024</xdr:rowOff>
    </xdr:from>
    <xdr:ext cx="247184" cy="1047750"/>
    <xdr:sp macro="" textlink="$F$61">
      <xdr:nvSpPr>
        <xdr:cNvPr id="21" name="TextovéPole 20">
          <a:extLst>
            <a:ext uri="{FF2B5EF4-FFF2-40B4-BE49-F238E27FC236}">
              <a16:creationId xmlns:a16="http://schemas.microsoft.com/office/drawing/2014/main" id="{DFEAC17C-EFA6-4CD9-AF08-08689150199D}"/>
            </a:ext>
          </a:extLst>
        </xdr:cNvPr>
        <xdr:cNvSpPr txBox="1"/>
      </xdr:nvSpPr>
      <xdr:spPr>
        <a:xfrm rot="16200000">
          <a:off x="-7254" y="6496282"/>
          <a:ext cx="10477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D5A25F94-DEE6-4833-96F9-6C67B874EEBF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208430</xdr:colOff>
      <xdr:row>17</xdr:row>
      <xdr:rowOff>76200</xdr:rowOff>
    </xdr:from>
    <xdr:ext cx="247184" cy="1047750"/>
    <xdr:sp macro="" textlink="$F$62">
      <xdr:nvSpPr>
        <xdr:cNvPr id="22" name="TextovéPole 21">
          <a:extLst>
            <a:ext uri="{FF2B5EF4-FFF2-40B4-BE49-F238E27FC236}">
              <a16:creationId xmlns:a16="http://schemas.microsoft.com/office/drawing/2014/main" id="{8C8D09B2-8145-4EF2-9E2C-57A047308FD4}"/>
            </a:ext>
          </a:extLst>
        </xdr:cNvPr>
        <xdr:cNvSpPr txBox="1"/>
      </xdr:nvSpPr>
      <xdr:spPr>
        <a:xfrm rot="16200000">
          <a:off x="-10878" y="4391258"/>
          <a:ext cx="10477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B4F3DA35-E9D1-4340-9A29-A1206C4F42DB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F 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399213</xdr:colOff>
      <xdr:row>17</xdr:row>
      <xdr:rowOff>85725</xdr:rowOff>
    </xdr:from>
    <xdr:ext cx="247184" cy="1047750"/>
    <xdr:sp macro="" textlink="$F$63">
      <xdr:nvSpPr>
        <xdr:cNvPr id="23" name="TextovéPole 22">
          <a:extLst>
            <a:ext uri="{FF2B5EF4-FFF2-40B4-BE49-F238E27FC236}">
              <a16:creationId xmlns:a16="http://schemas.microsoft.com/office/drawing/2014/main" id="{BB3E0991-9075-4B08-9CB3-0ADB2D1455F1}"/>
            </a:ext>
          </a:extLst>
        </xdr:cNvPr>
        <xdr:cNvSpPr txBox="1"/>
      </xdr:nvSpPr>
      <xdr:spPr>
        <a:xfrm rot="16200000">
          <a:off x="179905" y="4400783"/>
          <a:ext cx="10477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A3143E87-4982-4F54-A7B7-69695C1669A8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A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114300</xdr:colOff>
      <xdr:row>35</xdr:row>
      <xdr:rowOff>85725</xdr:rowOff>
    </xdr:from>
    <xdr:ext cx="866775" cy="247184"/>
    <xdr:sp macro="" textlink="$F$60">
      <xdr:nvSpPr>
        <xdr:cNvPr id="24" name="TextovéPole 23">
          <a:extLst>
            <a:ext uri="{FF2B5EF4-FFF2-40B4-BE49-F238E27FC236}">
              <a16:creationId xmlns:a16="http://schemas.microsoft.com/office/drawing/2014/main" id="{4DF606F9-76CA-4407-9D38-DED4326D6D17}"/>
            </a:ext>
          </a:extLst>
        </xdr:cNvPr>
        <xdr:cNvSpPr txBox="1"/>
      </xdr:nvSpPr>
      <xdr:spPr>
        <a:xfrm>
          <a:off x="1905000" y="8172450"/>
          <a:ext cx="86677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1B5658D-0698-4D54-BD0A-CAB903329B3D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209551</xdr:colOff>
      <xdr:row>13</xdr:row>
      <xdr:rowOff>114300</xdr:rowOff>
    </xdr:from>
    <xdr:ext cx="419100" cy="256737"/>
    <xdr:sp macro="" textlink="Obrázky!Y19">
      <xdr:nvSpPr>
        <xdr:cNvPr id="25" name="TextovéPole 24">
          <a:extLst>
            <a:ext uri="{FF2B5EF4-FFF2-40B4-BE49-F238E27FC236}">
              <a16:creationId xmlns:a16="http://schemas.microsoft.com/office/drawing/2014/main" id="{EE591116-BCAF-41E8-8FB0-538CEE2E5CA2}"/>
            </a:ext>
          </a:extLst>
        </xdr:cNvPr>
        <xdr:cNvSpPr txBox="1"/>
      </xdr:nvSpPr>
      <xdr:spPr>
        <a:xfrm>
          <a:off x="1000126" y="3219450"/>
          <a:ext cx="419100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019805A-9DBE-4ED4-9145-637CEA538596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266700</xdr:colOff>
      <xdr:row>13</xdr:row>
      <xdr:rowOff>114300</xdr:rowOff>
    </xdr:from>
    <xdr:ext cx="419100" cy="238125"/>
    <xdr:sp macro="" textlink="Obrázky!Y20">
      <xdr:nvSpPr>
        <xdr:cNvPr id="26" name="TextovéPole 25">
          <a:extLst>
            <a:ext uri="{FF2B5EF4-FFF2-40B4-BE49-F238E27FC236}">
              <a16:creationId xmlns:a16="http://schemas.microsoft.com/office/drawing/2014/main" id="{CC9C2C80-791C-4743-832F-F9BB4E6ED9DE}"/>
            </a:ext>
          </a:extLst>
        </xdr:cNvPr>
        <xdr:cNvSpPr txBox="1"/>
      </xdr:nvSpPr>
      <xdr:spPr>
        <a:xfrm>
          <a:off x="3143250" y="3219450"/>
          <a:ext cx="4191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B2C97E3-3F74-4A5D-A046-8E43CC782ECA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cs-CZ" sz="105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600074</xdr:colOff>
      <xdr:row>33</xdr:row>
      <xdr:rowOff>104775</xdr:rowOff>
    </xdr:from>
    <xdr:ext cx="485775" cy="238125"/>
    <xdr:sp macro="" textlink="Obrázky!Y18">
      <xdr:nvSpPr>
        <xdr:cNvPr id="27" name="TextovéPole 26">
          <a:extLst>
            <a:ext uri="{FF2B5EF4-FFF2-40B4-BE49-F238E27FC236}">
              <a16:creationId xmlns:a16="http://schemas.microsoft.com/office/drawing/2014/main" id="{6148608C-CA77-4266-B6E2-420AB59F51EE}"/>
            </a:ext>
          </a:extLst>
        </xdr:cNvPr>
        <xdr:cNvSpPr txBox="1"/>
      </xdr:nvSpPr>
      <xdr:spPr>
        <a:xfrm>
          <a:off x="2867024" y="7791450"/>
          <a:ext cx="4857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409575</xdr:colOff>
      <xdr:row>33</xdr:row>
      <xdr:rowOff>95250</xdr:rowOff>
    </xdr:from>
    <xdr:ext cx="485775" cy="238125"/>
    <xdr:sp macro="" textlink="Obrázky!Y18">
      <xdr:nvSpPr>
        <xdr:cNvPr id="28" name="TextovéPole 27">
          <a:extLst>
            <a:ext uri="{FF2B5EF4-FFF2-40B4-BE49-F238E27FC236}">
              <a16:creationId xmlns:a16="http://schemas.microsoft.com/office/drawing/2014/main" id="{1C3D1FBF-5F2E-4B4F-B179-0E52C2BE262F}"/>
            </a:ext>
          </a:extLst>
        </xdr:cNvPr>
        <xdr:cNvSpPr txBox="1"/>
      </xdr:nvSpPr>
      <xdr:spPr>
        <a:xfrm>
          <a:off x="1200150" y="7781925"/>
          <a:ext cx="4857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880783</xdr:colOff>
      <xdr:row>41</xdr:row>
      <xdr:rowOff>96371</xdr:rowOff>
    </xdr:from>
    <xdr:ext cx="1457326" cy="247184"/>
    <xdr:sp macro="" textlink="Obrázky!Y13">
      <xdr:nvSpPr>
        <xdr:cNvPr id="29" name="TextovéPole 28">
          <a:extLst>
            <a:ext uri="{FF2B5EF4-FFF2-40B4-BE49-F238E27FC236}">
              <a16:creationId xmlns:a16="http://schemas.microsoft.com/office/drawing/2014/main" id="{79761D37-2D5A-4738-80B5-DC6EF912D833}"/>
            </a:ext>
          </a:extLst>
        </xdr:cNvPr>
        <xdr:cNvSpPr txBox="1"/>
      </xdr:nvSpPr>
      <xdr:spPr>
        <a:xfrm>
          <a:off x="1671358" y="9983321"/>
          <a:ext cx="1457326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775A83AD-D83C-448B-8B96-97117788EF6E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L+W+R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18</xdr:col>
      <xdr:colOff>43144</xdr:colOff>
      <xdr:row>17</xdr:row>
      <xdr:rowOff>32497</xdr:rowOff>
    </xdr:from>
    <xdr:ext cx="247184" cy="1047750"/>
    <xdr:sp macro="" textlink="$F$62">
      <xdr:nvSpPr>
        <xdr:cNvPr id="30" name="TextovéPole 29">
          <a:extLst>
            <a:ext uri="{FF2B5EF4-FFF2-40B4-BE49-F238E27FC236}">
              <a16:creationId xmlns:a16="http://schemas.microsoft.com/office/drawing/2014/main" id="{AEAD19DD-54A3-4C0F-9241-B367D189395C}"/>
            </a:ext>
          </a:extLst>
        </xdr:cNvPr>
        <xdr:cNvSpPr txBox="1"/>
      </xdr:nvSpPr>
      <xdr:spPr>
        <a:xfrm rot="16200000">
          <a:off x="12015836" y="4347555"/>
          <a:ext cx="10477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B4F3DA35-E9D1-4340-9A29-A1206C4F42DB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F 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17</xdr:col>
      <xdr:colOff>369793</xdr:colOff>
      <xdr:row>17</xdr:row>
      <xdr:rowOff>81803</xdr:rowOff>
    </xdr:from>
    <xdr:ext cx="247184" cy="1047750"/>
    <xdr:sp macro="" textlink="$F$63">
      <xdr:nvSpPr>
        <xdr:cNvPr id="31" name="TextovéPole 30">
          <a:extLst>
            <a:ext uri="{FF2B5EF4-FFF2-40B4-BE49-F238E27FC236}">
              <a16:creationId xmlns:a16="http://schemas.microsoft.com/office/drawing/2014/main" id="{26AE9588-5091-4504-AF21-B8B85D223354}"/>
            </a:ext>
          </a:extLst>
        </xdr:cNvPr>
        <xdr:cNvSpPr txBox="1"/>
      </xdr:nvSpPr>
      <xdr:spPr>
        <a:xfrm rot="16200000">
          <a:off x="11732885" y="4396861"/>
          <a:ext cx="10477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A3143E87-4982-4F54-A7B7-69695C1669A8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A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18</xdr:col>
      <xdr:colOff>44824</xdr:colOff>
      <xdr:row>25</xdr:row>
      <xdr:rowOff>121023</xdr:rowOff>
    </xdr:from>
    <xdr:ext cx="247184" cy="1047750"/>
    <xdr:sp macro="" textlink="$F$61">
      <xdr:nvSpPr>
        <xdr:cNvPr id="32" name="TextovéPole 31">
          <a:extLst>
            <a:ext uri="{FF2B5EF4-FFF2-40B4-BE49-F238E27FC236}">
              <a16:creationId xmlns:a16="http://schemas.microsoft.com/office/drawing/2014/main" id="{C361C6B5-BC7A-4F67-B238-29C179B35B05}"/>
            </a:ext>
          </a:extLst>
        </xdr:cNvPr>
        <xdr:cNvSpPr txBox="1"/>
      </xdr:nvSpPr>
      <xdr:spPr>
        <a:xfrm rot="16200000">
          <a:off x="12017516" y="6417281"/>
          <a:ext cx="10477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D5A25F94-DEE6-4833-96F9-6C67B874EEBF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134470</xdr:colOff>
      <xdr:row>12</xdr:row>
      <xdr:rowOff>11206</xdr:rowOff>
    </xdr:from>
    <xdr:ext cx="866775" cy="247184"/>
    <xdr:sp macro="" textlink="$F$66">
      <xdr:nvSpPr>
        <xdr:cNvPr id="33" name="TextovéPole 32">
          <a:extLst>
            <a:ext uri="{FF2B5EF4-FFF2-40B4-BE49-F238E27FC236}">
              <a16:creationId xmlns:a16="http://schemas.microsoft.com/office/drawing/2014/main" id="{0114EA52-7839-4AFD-83F3-556A08A607BC}"/>
            </a:ext>
          </a:extLst>
        </xdr:cNvPr>
        <xdr:cNvSpPr txBox="1"/>
      </xdr:nvSpPr>
      <xdr:spPr>
        <a:xfrm>
          <a:off x="11288245" y="2878231"/>
          <a:ext cx="86677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CC1CF14A-AC2F-4EC5-A16B-120B119F674D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676275</xdr:colOff>
      <xdr:row>38</xdr:row>
      <xdr:rowOff>35938</xdr:rowOff>
    </xdr:from>
    <xdr:ext cx="1869498" cy="311496"/>
    <xdr:sp macro="" textlink="AG129">
      <xdr:nvSpPr>
        <xdr:cNvPr id="34" name="TextovéPole 33">
          <a:extLst>
            <a:ext uri="{FF2B5EF4-FFF2-40B4-BE49-F238E27FC236}">
              <a16:creationId xmlns:a16="http://schemas.microsoft.com/office/drawing/2014/main" id="{3275C3E2-A9B5-43FF-B27D-B459A2084FD6}"/>
            </a:ext>
          </a:extLst>
        </xdr:cNvPr>
        <xdr:cNvSpPr txBox="1"/>
      </xdr:nvSpPr>
      <xdr:spPr>
        <a:xfrm>
          <a:off x="14116050" y="9322813"/>
          <a:ext cx="186949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13CA2755-339D-4063-83D3-995A94282236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Angebot/Bestellung:</a:t>
          </a:fld>
          <a:endParaRPr lang="cs-CZ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22</xdr:col>
      <xdr:colOff>269263</xdr:colOff>
      <xdr:row>41</xdr:row>
      <xdr:rowOff>57070</xdr:rowOff>
    </xdr:from>
    <xdr:ext cx="930088" cy="311496"/>
    <xdr:sp macro="" textlink="AG130">
      <xdr:nvSpPr>
        <xdr:cNvPr id="35" name="TextovéPole 34">
          <a:extLst>
            <a:ext uri="{FF2B5EF4-FFF2-40B4-BE49-F238E27FC236}">
              <a16:creationId xmlns:a16="http://schemas.microsoft.com/office/drawing/2014/main" id="{48B76935-DE1E-43D6-B36E-06D77A9298C7}"/>
            </a:ext>
          </a:extLst>
        </xdr:cNvPr>
        <xdr:cNvSpPr txBox="1"/>
      </xdr:nvSpPr>
      <xdr:spPr>
        <a:xfrm>
          <a:off x="15033013" y="9944020"/>
          <a:ext cx="93008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1CFC4D6F-9110-48F1-8A18-E73E4EE16723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Position:</a:t>
          </a:fld>
          <a:endParaRPr lang="cs-CZ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504827</xdr:colOff>
      <xdr:row>38</xdr:row>
      <xdr:rowOff>171450</xdr:rowOff>
    </xdr:from>
    <xdr:ext cx="224914" cy="514351"/>
    <xdr:sp macro="" textlink="Obrázky!Y22">
      <xdr:nvSpPr>
        <xdr:cNvPr id="36" name="TextovéPole 35">
          <a:extLst>
            <a:ext uri="{FF2B5EF4-FFF2-40B4-BE49-F238E27FC236}">
              <a16:creationId xmlns:a16="http://schemas.microsoft.com/office/drawing/2014/main" id="{E73A4D4E-9327-44AC-ACBC-FCBA109B25C9}"/>
            </a:ext>
          </a:extLst>
        </xdr:cNvPr>
        <xdr:cNvSpPr txBox="1"/>
      </xdr:nvSpPr>
      <xdr:spPr>
        <a:xfrm rot="5400000" flipV="1">
          <a:off x="541083" y="9603044"/>
          <a:ext cx="514351" cy="2249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D64A8417-2923-4EA8-8F5A-E32713982C7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250</a:t>
          </a:fld>
          <a:endParaRPr lang="cs-CZ" sz="105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31</xdr:row>
      <xdr:rowOff>47625</xdr:rowOff>
    </xdr:from>
    <xdr:to>
      <xdr:col>6</xdr:col>
      <xdr:colOff>104775</xdr:colOff>
      <xdr:row>38</xdr:row>
      <xdr:rowOff>114300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54ED581-2232-40D4-BA0C-04B6362F5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9531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2</xdr:row>
      <xdr:rowOff>95250</xdr:rowOff>
    </xdr:from>
    <xdr:to>
      <xdr:col>7</xdr:col>
      <xdr:colOff>47625</xdr:colOff>
      <xdr:row>31</xdr:row>
      <xdr:rowOff>57150</xdr:rowOff>
    </xdr:to>
    <xdr:pic>
      <xdr:nvPicPr>
        <xdr:cNvPr id="3" name="Picture 88">
          <a:extLst>
            <a:ext uri="{FF2B5EF4-FFF2-40B4-BE49-F238E27FC236}">
              <a16:creationId xmlns:a16="http://schemas.microsoft.com/office/drawing/2014/main" id="{85EE2CB3-559F-4C2A-9663-B3982B1F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76250"/>
          <a:ext cx="3343275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371475</xdr:colOff>
      <xdr:row>29</xdr:row>
      <xdr:rowOff>142875</xdr:rowOff>
    </xdr:from>
    <xdr:ext cx="866775" cy="247184"/>
    <xdr:sp macro="" textlink="general!$F$60">
      <xdr:nvSpPr>
        <xdr:cNvPr id="4" name="TextovéPole 3">
          <a:extLst>
            <a:ext uri="{FF2B5EF4-FFF2-40B4-BE49-F238E27FC236}">
              <a16:creationId xmlns:a16="http://schemas.microsoft.com/office/drawing/2014/main" id="{F2415C67-39CE-4E85-A3B2-CE8B9F1515D2}"/>
            </a:ext>
          </a:extLst>
        </xdr:cNvPr>
        <xdr:cNvSpPr txBox="1"/>
      </xdr:nvSpPr>
      <xdr:spPr>
        <a:xfrm>
          <a:off x="2200275" y="5667375"/>
          <a:ext cx="86677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B5B7DF9-CE31-4D06-B34C-220755A1716A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238359</xdr:colOff>
      <xdr:row>20</xdr:row>
      <xdr:rowOff>158005</xdr:rowOff>
    </xdr:from>
    <xdr:ext cx="247184" cy="971550"/>
    <xdr:sp macro="" textlink="general!$F$61">
      <xdr:nvSpPr>
        <xdr:cNvPr id="5" name="TextovéPole 4">
          <a:extLst>
            <a:ext uri="{FF2B5EF4-FFF2-40B4-BE49-F238E27FC236}">
              <a16:creationId xmlns:a16="http://schemas.microsoft.com/office/drawing/2014/main" id="{66779867-7E1F-4560-BB15-00A118781786}"/>
            </a:ext>
          </a:extLst>
        </xdr:cNvPr>
        <xdr:cNvSpPr txBox="1"/>
      </xdr:nvSpPr>
      <xdr:spPr>
        <a:xfrm rot="16200000">
          <a:off x="485776" y="4330188"/>
          <a:ext cx="9715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E8DE9B1-474B-4EAD-B508-0BC97BC955BF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215391</xdr:colOff>
      <xdr:row>9</xdr:row>
      <xdr:rowOff>123826</xdr:rowOff>
    </xdr:from>
    <xdr:ext cx="247184" cy="971550"/>
    <xdr:sp macro="" textlink="general!$F$63">
      <xdr:nvSpPr>
        <xdr:cNvPr id="6" name="TextovéPole 5">
          <a:extLst>
            <a:ext uri="{FF2B5EF4-FFF2-40B4-BE49-F238E27FC236}">
              <a16:creationId xmlns:a16="http://schemas.microsoft.com/office/drawing/2014/main" id="{D95593DD-A815-4F23-840D-C73F58146A30}"/>
            </a:ext>
          </a:extLst>
        </xdr:cNvPr>
        <xdr:cNvSpPr txBox="1"/>
      </xdr:nvSpPr>
      <xdr:spPr>
        <a:xfrm rot="16200000">
          <a:off x="462808" y="2200509"/>
          <a:ext cx="9715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AC289D8-E367-4CA8-9445-18E3F355D2BC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A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152400</xdr:colOff>
      <xdr:row>27</xdr:row>
      <xdr:rowOff>152400</xdr:rowOff>
    </xdr:from>
    <xdr:ext cx="457199" cy="238125"/>
    <xdr:sp macro="" textlink="Obrázky!Y18">
      <xdr:nvSpPr>
        <xdr:cNvPr id="7" name="TextovéPole 6">
          <a:extLst>
            <a:ext uri="{FF2B5EF4-FFF2-40B4-BE49-F238E27FC236}">
              <a16:creationId xmlns:a16="http://schemas.microsoft.com/office/drawing/2014/main" id="{264A4A1E-3D1A-4AD3-9BEC-8EEF1AAC7FC8}"/>
            </a:ext>
          </a:extLst>
        </xdr:cNvPr>
        <xdr:cNvSpPr txBox="1"/>
      </xdr:nvSpPr>
      <xdr:spPr>
        <a:xfrm>
          <a:off x="3200400" y="5295900"/>
          <a:ext cx="457199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352425</xdr:colOff>
      <xdr:row>27</xdr:row>
      <xdr:rowOff>142875</xdr:rowOff>
    </xdr:from>
    <xdr:ext cx="457199" cy="238125"/>
    <xdr:sp macro="" textlink="Obrázky!Y18">
      <xdr:nvSpPr>
        <xdr:cNvPr id="8" name="TextovéPole 7">
          <a:extLst>
            <a:ext uri="{FF2B5EF4-FFF2-40B4-BE49-F238E27FC236}">
              <a16:creationId xmlns:a16="http://schemas.microsoft.com/office/drawing/2014/main" id="{4D83AF7C-3374-4969-8FA9-2D6B698FFB39}"/>
            </a:ext>
          </a:extLst>
        </xdr:cNvPr>
        <xdr:cNvSpPr txBox="1"/>
      </xdr:nvSpPr>
      <xdr:spPr>
        <a:xfrm>
          <a:off x="1571625" y="5286375"/>
          <a:ext cx="457199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95250</xdr:colOff>
      <xdr:row>2</xdr:row>
      <xdr:rowOff>38100</xdr:rowOff>
    </xdr:from>
    <xdr:ext cx="419100" cy="256737"/>
    <xdr:sp macro="" textlink="Obrázky!Y19">
      <xdr:nvSpPr>
        <xdr:cNvPr id="9" name="TextovéPole 8">
          <a:extLst>
            <a:ext uri="{FF2B5EF4-FFF2-40B4-BE49-F238E27FC236}">
              <a16:creationId xmlns:a16="http://schemas.microsoft.com/office/drawing/2014/main" id="{B00802AE-A9B2-4BCC-977C-0C434A660E18}"/>
            </a:ext>
          </a:extLst>
        </xdr:cNvPr>
        <xdr:cNvSpPr txBox="1"/>
      </xdr:nvSpPr>
      <xdr:spPr>
        <a:xfrm>
          <a:off x="1314450" y="419100"/>
          <a:ext cx="419100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019805A-9DBE-4ED4-9145-637CEA538596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32</xdr:row>
      <xdr:rowOff>38100</xdr:rowOff>
    </xdr:from>
    <xdr:to>
      <xdr:col>6</xdr:col>
      <xdr:colOff>200025</xdr:colOff>
      <xdr:row>39</xdr:row>
      <xdr:rowOff>95250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C10DECF9-9973-435F-9AF5-0A50668BE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134100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2</xdr:row>
      <xdr:rowOff>66675</xdr:rowOff>
    </xdr:from>
    <xdr:to>
      <xdr:col>7</xdr:col>
      <xdr:colOff>247650</xdr:colOff>
      <xdr:row>32</xdr:row>
      <xdr:rowOff>104775</xdr:rowOff>
    </xdr:to>
    <xdr:pic>
      <xdr:nvPicPr>
        <xdr:cNvPr id="3" name="Picture 81">
          <a:extLst>
            <a:ext uri="{FF2B5EF4-FFF2-40B4-BE49-F238E27FC236}">
              <a16:creationId xmlns:a16="http://schemas.microsoft.com/office/drawing/2014/main" id="{2C752692-34CB-4666-8F00-33A73E95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47675"/>
          <a:ext cx="3552825" cy="575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57150</xdr:colOff>
      <xdr:row>31</xdr:row>
      <xdr:rowOff>0</xdr:rowOff>
    </xdr:from>
    <xdr:ext cx="866775" cy="247184"/>
    <xdr:sp macro="" textlink="general!$F$60">
      <xdr:nvSpPr>
        <xdr:cNvPr id="4" name="TextovéPole 3">
          <a:extLst>
            <a:ext uri="{FF2B5EF4-FFF2-40B4-BE49-F238E27FC236}">
              <a16:creationId xmlns:a16="http://schemas.microsoft.com/office/drawing/2014/main" id="{BD821A1E-30CF-4243-8266-3698E48787DC}"/>
            </a:ext>
          </a:extLst>
        </xdr:cNvPr>
        <xdr:cNvSpPr txBox="1"/>
      </xdr:nvSpPr>
      <xdr:spPr>
        <a:xfrm>
          <a:off x="2495550" y="5905500"/>
          <a:ext cx="86677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B5B7DF9-CE31-4D06-B34C-220755A1716A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400050</xdr:colOff>
      <xdr:row>28</xdr:row>
      <xdr:rowOff>142875</xdr:rowOff>
    </xdr:from>
    <xdr:ext cx="457199" cy="238125"/>
    <xdr:sp macro="" textlink="Obrázky!Y18">
      <xdr:nvSpPr>
        <xdr:cNvPr id="5" name="TextovéPole 4">
          <a:extLst>
            <a:ext uri="{FF2B5EF4-FFF2-40B4-BE49-F238E27FC236}">
              <a16:creationId xmlns:a16="http://schemas.microsoft.com/office/drawing/2014/main" id="{02360542-2573-4D86-9EEC-39FB468394E4}"/>
            </a:ext>
          </a:extLst>
        </xdr:cNvPr>
        <xdr:cNvSpPr txBox="1"/>
      </xdr:nvSpPr>
      <xdr:spPr>
        <a:xfrm>
          <a:off x="3448050" y="5476875"/>
          <a:ext cx="457199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485775</xdr:colOff>
      <xdr:row>28</xdr:row>
      <xdr:rowOff>142875</xdr:rowOff>
    </xdr:from>
    <xdr:ext cx="457199" cy="238125"/>
    <xdr:sp macro="" textlink="Obrázky!Y18">
      <xdr:nvSpPr>
        <xdr:cNvPr id="6" name="TextovéPole 5">
          <a:extLst>
            <a:ext uri="{FF2B5EF4-FFF2-40B4-BE49-F238E27FC236}">
              <a16:creationId xmlns:a16="http://schemas.microsoft.com/office/drawing/2014/main" id="{C073B737-FF6D-41BB-9A98-A3598AFE9C86}"/>
            </a:ext>
          </a:extLst>
        </xdr:cNvPr>
        <xdr:cNvSpPr txBox="1"/>
      </xdr:nvSpPr>
      <xdr:spPr>
        <a:xfrm>
          <a:off x="1704975" y="5476875"/>
          <a:ext cx="457199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76200</xdr:colOff>
      <xdr:row>21</xdr:row>
      <xdr:rowOff>9525</xdr:rowOff>
    </xdr:from>
    <xdr:ext cx="247184" cy="971550"/>
    <xdr:sp macro="" textlink="general!$F$61">
      <xdr:nvSpPr>
        <xdr:cNvPr id="7" name="TextovéPole 6">
          <a:extLst>
            <a:ext uri="{FF2B5EF4-FFF2-40B4-BE49-F238E27FC236}">
              <a16:creationId xmlns:a16="http://schemas.microsoft.com/office/drawing/2014/main" id="{50E57110-34E6-4494-8567-B7F0B4C0FAB0}"/>
            </a:ext>
          </a:extLst>
        </xdr:cNvPr>
        <xdr:cNvSpPr txBox="1"/>
      </xdr:nvSpPr>
      <xdr:spPr>
        <a:xfrm rot="16200000">
          <a:off x="3981217" y="4372208"/>
          <a:ext cx="9715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E8DE9B1-474B-4EAD-B508-0BC97BC955BF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76200</xdr:colOff>
      <xdr:row>8</xdr:row>
      <xdr:rowOff>19050</xdr:rowOff>
    </xdr:from>
    <xdr:ext cx="247184" cy="971550"/>
    <xdr:sp macro="" textlink="general!$F$63">
      <xdr:nvSpPr>
        <xdr:cNvPr id="8" name="TextovéPole 7">
          <a:extLst>
            <a:ext uri="{FF2B5EF4-FFF2-40B4-BE49-F238E27FC236}">
              <a16:creationId xmlns:a16="http://schemas.microsoft.com/office/drawing/2014/main" id="{A9B4C17D-B464-4DDD-B67F-54973F6B5BC9}"/>
            </a:ext>
          </a:extLst>
        </xdr:cNvPr>
        <xdr:cNvSpPr txBox="1"/>
      </xdr:nvSpPr>
      <xdr:spPr>
        <a:xfrm rot="16200000">
          <a:off x="3981217" y="1905233"/>
          <a:ext cx="9715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AC289D8-E367-4CA8-9445-18E3F355D2BC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A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123825</xdr:colOff>
      <xdr:row>2</xdr:row>
      <xdr:rowOff>38100</xdr:rowOff>
    </xdr:from>
    <xdr:ext cx="419100" cy="238125"/>
    <xdr:sp macro="" textlink="Obrázky!Y20">
      <xdr:nvSpPr>
        <xdr:cNvPr id="9" name="TextovéPole 8">
          <a:extLst>
            <a:ext uri="{FF2B5EF4-FFF2-40B4-BE49-F238E27FC236}">
              <a16:creationId xmlns:a16="http://schemas.microsoft.com/office/drawing/2014/main" id="{8A05C9F5-F0F4-4049-B006-0A8C506B773A}"/>
            </a:ext>
          </a:extLst>
        </xdr:cNvPr>
        <xdr:cNvSpPr txBox="1"/>
      </xdr:nvSpPr>
      <xdr:spPr>
        <a:xfrm>
          <a:off x="3781425" y="419100"/>
          <a:ext cx="4191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B2C97E3-3F74-4A5D-A046-8E43CC782ECA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32</xdr:row>
      <xdr:rowOff>38100</xdr:rowOff>
    </xdr:from>
    <xdr:to>
      <xdr:col>6</xdr:col>
      <xdr:colOff>200025</xdr:colOff>
      <xdr:row>39</xdr:row>
      <xdr:rowOff>104775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5F33506F-5FB9-47CF-90EF-8B76479D7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134100"/>
          <a:ext cx="24860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457200</xdr:colOff>
      <xdr:row>27</xdr:row>
      <xdr:rowOff>76200</xdr:rowOff>
    </xdr:from>
    <xdr:ext cx="457199" cy="238125"/>
    <xdr:sp macro="" textlink="Obrázky!Y18">
      <xdr:nvSpPr>
        <xdr:cNvPr id="3" name="TextovéPole 2">
          <a:extLst>
            <a:ext uri="{FF2B5EF4-FFF2-40B4-BE49-F238E27FC236}">
              <a16:creationId xmlns:a16="http://schemas.microsoft.com/office/drawing/2014/main" id="{69956E50-AFDC-46EB-97C5-4C88A9F30E2B}"/>
            </a:ext>
          </a:extLst>
        </xdr:cNvPr>
        <xdr:cNvSpPr txBox="1"/>
      </xdr:nvSpPr>
      <xdr:spPr>
        <a:xfrm>
          <a:off x="3505200" y="5219700"/>
          <a:ext cx="457199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438150</xdr:colOff>
      <xdr:row>27</xdr:row>
      <xdr:rowOff>76200</xdr:rowOff>
    </xdr:from>
    <xdr:ext cx="457199" cy="238125"/>
    <xdr:sp macro="" textlink="Obrázky!Y18">
      <xdr:nvSpPr>
        <xdr:cNvPr id="4" name="TextovéPole 3">
          <a:extLst>
            <a:ext uri="{FF2B5EF4-FFF2-40B4-BE49-F238E27FC236}">
              <a16:creationId xmlns:a16="http://schemas.microsoft.com/office/drawing/2014/main" id="{BB55CDA0-A9C9-4B2F-A37D-B46DFC3EEAB9}"/>
            </a:ext>
          </a:extLst>
        </xdr:cNvPr>
        <xdr:cNvSpPr txBox="1"/>
      </xdr:nvSpPr>
      <xdr:spPr>
        <a:xfrm>
          <a:off x="1657350" y="5219700"/>
          <a:ext cx="457199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1C285A0-2BC8-4B74-9BD6-458B9E841EC2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581025</xdr:colOff>
      <xdr:row>29</xdr:row>
      <xdr:rowOff>95250</xdr:rowOff>
    </xdr:from>
    <xdr:ext cx="866775" cy="247184"/>
    <xdr:sp macro="" textlink="general!$F$60">
      <xdr:nvSpPr>
        <xdr:cNvPr id="5" name="TextovéPole 4">
          <a:extLst>
            <a:ext uri="{FF2B5EF4-FFF2-40B4-BE49-F238E27FC236}">
              <a16:creationId xmlns:a16="http://schemas.microsoft.com/office/drawing/2014/main" id="{287D29E9-6D0C-4E87-952D-F2941B51D70E}"/>
            </a:ext>
          </a:extLst>
        </xdr:cNvPr>
        <xdr:cNvSpPr txBox="1"/>
      </xdr:nvSpPr>
      <xdr:spPr>
        <a:xfrm>
          <a:off x="2409825" y="5619750"/>
          <a:ext cx="86677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B5B7DF9-CE31-4D06-B34C-220755A1716A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W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170008</xdr:colOff>
      <xdr:row>0</xdr:row>
      <xdr:rowOff>180975</xdr:rowOff>
    </xdr:from>
    <xdr:to>
      <xdr:col>7</xdr:col>
      <xdr:colOff>504968</xdr:colOff>
      <xdr:row>30</xdr:row>
      <xdr:rowOff>180975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C3405FB-27CA-46BF-934E-3A58CCBF2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53" t="13731" r="22443" b="22443"/>
        <a:stretch/>
      </xdr:blipFill>
      <xdr:spPr>
        <a:xfrm>
          <a:off x="779608" y="180975"/>
          <a:ext cx="3992560" cy="5715000"/>
        </a:xfrm>
        <a:prstGeom prst="rect">
          <a:avLst/>
        </a:prstGeom>
      </xdr:spPr>
    </xdr:pic>
    <xdr:clientData/>
  </xdr:twoCellAnchor>
  <xdr:oneCellAnchor>
    <xdr:from>
      <xdr:col>1</xdr:col>
      <xdr:colOff>333375</xdr:colOff>
      <xdr:row>19</xdr:row>
      <xdr:rowOff>47625</xdr:rowOff>
    </xdr:from>
    <xdr:ext cx="247184" cy="971550"/>
    <xdr:sp macro="" textlink="general!$F$61">
      <xdr:nvSpPr>
        <xdr:cNvPr id="7" name="TextovéPole 6">
          <a:extLst>
            <a:ext uri="{FF2B5EF4-FFF2-40B4-BE49-F238E27FC236}">
              <a16:creationId xmlns:a16="http://schemas.microsoft.com/office/drawing/2014/main" id="{86D2576F-6E3F-4C2C-B15D-7CD7206AE47F}"/>
            </a:ext>
          </a:extLst>
        </xdr:cNvPr>
        <xdr:cNvSpPr txBox="1"/>
      </xdr:nvSpPr>
      <xdr:spPr>
        <a:xfrm rot="16200000">
          <a:off x="580792" y="4029308"/>
          <a:ext cx="9715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E8DE9B1-474B-4EAD-B508-0BC97BC955BF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352425</xdr:colOff>
      <xdr:row>7</xdr:row>
      <xdr:rowOff>9525</xdr:rowOff>
    </xdr:from>
    <xdr:ext cx="247184" cy="971550"/>
    <xdr:sp macro="" textlink="general!$F$63">
      <xdr:nvSpPr>
        <xdr:cNvPr id="8" name="TextovéPole 7">
          <a:extLst>
            <a:ext uri="{FF2B5EF4-FFF2-40B4-BE49-F238E27FC236}">
              <a16:creationId xmlns:a16="http://schemas.microsoft.com/office/drawing/2014/main" id="{A79256BD-02FE-414C-9A28-ACB4218BCB65}"/>
            </a:ext>
          </a:extLst>
        </xdr:cNvPr>
        <xdr:cNvSpPr txBox="1"/>
      </xdr:nvSpPr>
      <xdr:spPr>
        <a:xfrm rot="16200000">
          <a:off x="599842" y="1705208"/>
          <a:ext cx="97155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AC289D8-E367-4CA8-9445-18E3F355D2BC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A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161925</xdr:colOff>
      <xdr:row>0</xdr:row>
      <xdr:rowOff>161925</xdr:rowOff>
    </xdr:from>
    <xdr:ext cx="419100" cy="238125"/>
    <xdr:sp macro="" textlink="Obrázky!Y20">
      <xdr:nvSpPr>
        <xdr:cNvPr id="9" name="TextovéPole 8">
          <a:extLst>
            <a:ext uri="{FF2B5EF4-FFF2-40B4-BE49-F238E27FC236}">
              <a16:creationId xmlns:a16="http://schemas.microsoft.com/office/drawing/2014/main" id="{EEFC9E93-1174-4974-BCC3-32E42EFFA2AA}"/>
            </a:ext>
          </a:extLst>
        </xdr:cNvPr>
        <xdr:cNvSpPr txBox="1"/>
      </xdr:nvSpPr>
      <xdr:spPr>
        <a:xfrm>
          <a:off x="3819525" y="161925"/>
          <a:ext cx="4191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B2C97E3-3F74-4A5D-A046-8E43CC782ECA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219075</xdr:colOff>
      <xdr:row>0</xdr:row>
      <xdr:rowOff>152400</xdr:rowOff>
    </xdr:from>
    <xdr:ext cx="419100" cy="256737"/>
    <xdr:sp macro="" textlink="Obrázky!Y19">
      <xdr:nvSpPr>
        <xdr:cNvPr id="10" name="TextovéPole 9">
          <a:extLst>
            <a:ext uri="{FF2B5EF4-FFF2-40B4-BE49-F238E27FC236}">
              <a16:creationId xmlns:a16="http://schemas.microsoft.com/office/drawing/2014/main" id="{71105EB5-1271-4BB0-ADC3-BCE9A3C74A48}"/>
            </a:ext>
          </a:extLst>
        </xdr:cNvPr>
        <xdr:cNvSpPr txBox="1"/>
      </xdr:nvSpPr>
      <xdr:spPr>
        <a:xfrm>
          <a:off x="1438275" y="152400"/>
          <a:ext cx="419100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019805A-9DBE-4ED4-9145-637CEA538596}" type="TxLink">
            <a:rPr lang="en-US" sz="10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190508</xdr:colOff>
      <xdr:row>16</xdr:row>
      <xdr:rowOff>44824</xdr:rowOff>
    </xdr:from>
    <xdr:to>
      <xdr:col>18</xdr:col>
      <xdr:colOff>164524</xdr:colOff>
      <xdr:row>42</xdr:row>
      <xdr:rowOff>150384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517F2EF-F5D9-4E3A-B287-F50D8653E9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7" t="13695" r="22300" b="23301"/>
        <a:stretch/>
      </xdr:blipFill>
      <xdr:spPr>
        <a:xfrm>
          <a:off x="7505708" y="3092824"/>
          <a:ext cx="3631616" cy="5068085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190505</xdr:colOff>
      <xdr:row>45</xdr:row>
      <xdr:rowOff>22414</xdr:rowOff>
    </xdr:from>
    <xdr:to>
      <xdr:col>17</xdr:col>
      <xdr:colOff>154635</xdr:colOff>
      <xdr:row>71</xdr:row>
      <xdr:rowOff>161388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8744E93-E55A-49A2-A079-A308306673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13703" r="22434" b="23017"/>
        <a:stretch/>
      </xdr:blipFill>
      <xdr:spPr>
        <a:xfrm>
          <a:off x="6896105" y="8604439"/>
          <a:ext cx="3621730" cy="5091974"/>
        </a:xfrm>
        <a:prstGeom prst="rect">
          <a:avLst/>
        </a:prstGeom>
      </xdr:spPr>
    </xdr:pic>
    <xdr:clientData/>
  </xdr:twoCellAnchor>
  <xdr:twoCellAnchor editAs="oneCell">
    <xdr:from>
      <xdr:col>10</xdr:col>
      <xdr:colOff>481859</xdr:colOff>
      <xdr:row>74</xdr:row>
      <xdr:rowOff>100856</xdr:rowOff>
    </xdr:from>
    <xdr:to>
      <xdr:col>16</xdr:col>
      <xdr:colOff>445989</xdr:colOff>
      <xdr:row>101</xdr:row>
      <xdr:rowOff>87230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3B49261-7527-4F6A-9B15-6C4F854F27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13815" r="22434" b="22434"/>
        <a:stretch/>
      </xdr:blipFill>
      <xdr:spPr>
        <a:xfrm>
          <a:off x="6577859" y="14207381"/>
          <a:ext cx="3621730" cy="5129874"/>
        </a:xfrm>
        <a:prstGeom prst="rect">
          <a:avLst/>
        </a:prstGeom>
      </xdr:spPr>
    </xdr:pic>
    <xdr:clientData/>
  </xdr:twoCellAnchor>
  <xdr:twoCellAnchor editAs="oneCell">
    <xdr:from>
      <xdr:col>13</xdr:col>
      <xdr:colOff>224122</xdr:colOff>
      <xdr:row>105</xdr:row>
      <xdr:rowOff>56030</xdr:rowOff>
    </xdr:from>
    <xdr:to>
      <xdr:col>19</xdr:col>
      <xdr:colOff>188252</xdr:colOff>
      <xdr:row>132</xdr:row>
      <xdr:rowOff>51417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69FCDE8-8B50-48FB-8A2C-6587A9BA65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13703" r="22434" b="22434"/>
        <a:stretch/>
      </xdr:blipFill>
      <xdr:spPr>
        <a:xfrm>
          <a:off x="8148922" y="20068055"/>
          <a:ext cx="3621730" cy="5138887"/>
        </a:xfrm>
        <a:prstGeom prst="rect">
          <a:avLst/>
        </a:prstGeom>
      </xdr:spPr>
    </xdr:pic>
    <xdr:clientData/>
  </xdr:twoCellAnchor>
  <xdr:twoCellAnchor editAs="oneCell">
    <xdr:from>
      <xdr:col>12</xdr:col>
      <xdr:colOff>145677</xdr:colOff>
      <xdr:row>136</xdr:row>
      <xdr:rowOff>56036</xdr:rowOff>
    </xdr:from>
    <xdr:to>
      <xdr:col>18</xdr:col>
      <xdr:colOff>136730</xdr:colOff>
      <xdr:row>163</xdr:row>
      <xdr:rowOff>74678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0B83A78-C668-476A-852C-1E34580CC7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8" t="13703" r="22145" b="22145"/>
        <a:stretch/>
      </xdr:blipFill>
      <xdr:spPr>
        <a:xfrm>
          <a:off x="7460877" y="25973561"/>
          <a:ext cx="3648653" cy="516214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9</xdr:col>
      <xdr:colOff>579134</xdr:colOff>
      <xdr:row>45</xdr:row>
      <xdr:rowOff>105560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D5551A7-0FDA-421D-8AC7-379273884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7" t="13695" r="22300" b="23301"/>
        <a:stretch/>
      </xdr:blipFill>
      <xdr:spPr>
        <a:xfrm>
          <a:off x="2438400" y="3619500"/>
          <a:ext cx="3627134" cy="50680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9</xdr:col>
      <xdr:colOff>569248</xdr:colOff>
      <xdr:row>74</xdr:row>
      <xdr:rowOff>138974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69E28CA-7C2F-4EE1-A497-6250FBB225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13703" r="22434" b="23017"/>
        <a:stretch/>
      </xdr:blipFill>
      <xdr:spPr>
        <a:xfrm>
          <a:off x="2438400" y="9153525"/>
          <a:ext cx="3617248" cy="50919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9</xdr:col>
      <xdr:colOff>569248</xdr:colOff>
      <xdr:row>103</xdr:row>
      <xdr:rowOff>176874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EA6D821-53BD-4F97-972C-8ED00A1B2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13815" r="22434" b="22434"/>
        <a:stretch/>
      </xdr:blipFill>
      <xdr:spPr>
        <a:xfrm>
          <a:off x="2438400" y="14678025"/>
          <a:ext cx="3617248" cy="51298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9</xdr:col>
      <xdr:colOff>569248</xdr:colOff>
      <xdr:row>132</xdr:row>
      <xdr:rowOff>185887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382FC5A-97C9-4F3E-9941-1AB54202D3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13703" r="22434" b="22434"/>
        <a:stretch/>
      </xdr:blipFill>
      <xdr:spPr>
        <a:xfrm>
          <a:off x="2438400" y="20202525"/>
          <a:ext cx="3617248" cy="513888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9</xdr:col>
      <xdr:colOff>596171</xdr:colOff>
      <xdr:row>163</xdr:row>
      <xdr:rowOff>18642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DA2D8A5-BAF7-4307-9FE8-04AE1B3A06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8" t="13703" r="22145" b="22145"/>
        <a:stretch/>
      </xdr:blipFill>
      <xdr:spPr>
        <a:xfrm>
          <a:off x="2438400" y="25917525"/>
          <a:ext cx="3644171" cy="5162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D4F4-6CAF-4BB1-8FC0-39243FD1632E}">
  <sheetPr codeName="List1"/>
  <dimension ref="A1:AU133"/>
  <sheetViews>
    <sheetView showGridLines="0" tabSelected="1" view="pageBreakPreview" topLeftCell="H49" zoomScaleNormal="100" zoomScaleSheetLayoutView="100" workbookViewId="0">
      <selection activeCell="K5" sqref="K5"/>
    </sheetView>
  </sheetViews>
  <sheetFormatPr baseColWidth="10" defaultColWidth="9.140625" defaultRowHeight="15"/>
  <cols>
    <col min="1" max="1" width="2.7109375" customWidth="1"/>
    <col min="3" max="3" width="15" customWidth="1"/>
    <col min="4" max="4" width="7.140625" customWidth="1"/>
    <col min="6" max="6" width="11.85546875" bestFit="1" customWidth="1"/>
    <col min="7" max="7" width="10.85546875" bestFit="1" customWidth="1"/>
    <col min="8" max="8" width="14.28515625" customWidth="1"/>
    <col min="9" max="9" width="11.5703125" customWidth="1"/>
    <col min="10" max="10" width="14.140625" customWidth="1"/>
    <col min="11" max="11" width="11.28515625" bestFit="1" customWidth="1"/>
    <col min="12" max="12" width="11.85546875" bestFit="1" customWidth="1"/>
    <col min="13" max="13" width="3.42578125" customWidth="1"/>
    <col min="16" max="16" width="16.5703125" customWidth="1"/>
    <col min="20" max="20" width="6.85546875" customWidth="1"/>
    <col min="21" max="21" width="10.7109375" customWidth="1"/>
    <col min="26" max="26" width="11.85546875" bestFit="1" customWidth="1"/>
    <col min="27" max="27" width="11.7109375" customWidth="1"/>
    <col min="29" max="29" width="2.140625" customWidth="1"/>
    <col min="30" max="31" width="9.140625" customWidth="1"/>
    <col min="32" max="32" width="8.42578125" customWidth="1"/>
    <col min="33" max="33" width="43.5703125" customWidth="1"/>
    <col min="34" max="34" width="95.42578125" customWidth="1"/>
    <col min="35" max="35" width="91.85546875" customWidth="1"/>
    <col min="36" max="36" width="81.42578125" customWidth="1"/>
    <col min="37" max="37" width="76.5703125" customWidth="1"/>
    <col min="38" max="38" width="88.28515625" customWidth="1"/>
    <col min="39" max="39" width="60" customWidth="1"/>
    <col min="40" max="40" width="62.85546875" customWidth="1"/>
    <col min="41" max="41" width="44.7109375" customWidth="1"/>
    <col min="42" max="42" width="53.42578125" customWidth="1"/>
    <col min="43" max="82" width="9.140625" customWidth="1"/>
  </cols>
  <sheetData>
    <row r="1" spans="1:47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4" t="s">
        <v>2</v>
      </c>
      <c r="AI1" s="4" t="s">
        <v>3</v>
      </c>
      <c r="AJ1" s="4" t="s">
        <v>4</v>
      </c>
      <c r="AK1" s="4" t="s">
        <v>5</v>
      </c>
      <c r="AL1" s="4" t="s">
        <v>6</v>
      </c>
      <c r="AM1" s="4" t="s">
        <v>7</v>
      </c>
      <c r="AN1" t="s">
        <v>8</v>
      </c>
      <c r="AO1" t="s">
        <v>9</v>
      </c>
      <c r="AP1" t="s">
        <v>10</v>
      </c>
      <c r="AU1" s="4" t="str">
        <f>$AG$102</f>
        <v>hand</v>
      </c>
    </row>
    <row r="2" spans="1:47" ht="15.75" thickBot="1">
      <c r="A2" s="5"/>
      <c r="M2" s="6"/>
      <c r="N2" s="6"/>
      <c r="O2" s="6"/>
      <c r="P2" s="6"/>
      <c r="Q2" s="6"/>
      <c r="R2" s="6"/>
      <c r="S2" s="6"/>
      <c r="T2" s="6"/>
      <c r="U2" s="6"/>
      <c r="V2" s="6"/>
      <c r="W2" s="196" t="str">
        <f>AG12</f>
        <v>VERTIKALER BESCHLAG (VL)</v>
      </c>
      <c r="X2" s="196"/>
      <c r="Y2" s="196"/>
      <c r="Z2" s="196"/>
      <c r="AA2" s="196"/>
      <c r="AB2" s="197"/>
      <c r="AD2" s="7" t="s">
        <v>11</v>
      </c>
      <c r="AE2" s="8" t="s">
        <v>12</v>
      </c>
      <c r="AF2" s="9"/>
      <c r="AG2" t="str">
        <f>VLOOKUP(AH2,AH2:AR96,$AE$1,FALSE)</f>
        <v>Wählen Sie eine Sprache</v>
      </c>
      <c r="AH2" t="s">
        <v>13</v>
      </c>
      <c r="AI2" t="s">
        <v>14</v>
      </c>
      <c r="AJ2" s="10" t="s">
        <v>15</v>
      </c>
      <c r="AK2" t="s">
        <v>16</v>
      </c>
      <c r="AL2" s="10" t="s">
        <v>17</v>
      </c>
      <c r="AM2" s="11" t="s">
        <v>18</v>
      </c>
      <c r="AN2" t="s">
        <v>19</v>
      </c>
      <c r="AO2" t="s">
        <v>20</v>
      </c>
      <c r="AP2" t="s">
        <v>21</v>
      </c>
      <c r="AU2" t="str">
        <f>$AG$104</f>
        <v>Haspelkette - links</v>
      </c>
    </row>
    <row r="3" spans="1:47" ht="19.5" thickBot="1">
      <c r="A3" s="5"/>
      <c r="B3" s="12" t="s">
        <v>22</v>
      </c>
      <c r="C3" s="12"/>
      <c r="H3" s="13" t="str">
        <f>VLOOKUP(AG3,AG2:AR96,$AE$1+1,FALSE)</f>
        <v>Lichte Breite</v>
      </c>
      <c r="I3" s="13"/>
      <c r="K3" s="14"/>
      <c r="L3" t="s">
        <v>23</v>
      </c>
      <c r="V3" s="15"/>
      <c r="W3" s="198"/>
      <c r="X3" s="198"/>
      <c r="Y3" s="198"/>
      <c r="Z3" s="198"/>
      <c r="AA3" s="198"/>
      <c r="AB3" s="199"/>
      <c r="AD3" s="16" t="s">
        <v>2</v>
      </c>
      <c r="AE3" s="17">
        <v>1</v>
      </c>
      <c r="AF3" s="4"/>
      <c r="AG3" t="str">
        <f t="shared" ref="AG3:AG66" si="0">VLOOKUP(AH3,AH3:AR97,$AE$1,FALSE)</f>
        <v>Lichte Breite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s="11" t="s">
        <v>29</v>
      </c>
      <c r="AN3" t="s">
        <v>30</v>
      </c>
      <c r="AO3" t="s">
        <v>31</v>
      </c>
      <c r="AP3" t="s">
        <v>32</v>
      </c>
      <c r="AU3" t="str">
        <f>$AG$105</f>
        <v>Haspelkette - rechts</v>
      </c>
    </row>
    <row r="4" spans="1:47" ht="19.5" thickBot="1">
      <c r="A4" s="5"/>
      <c r="B4" s="12" t="s">
        <v>14</v>
      </c>
      <c r="C4" s="12"/>
      <c r="H4" s="13"/>
      <c r="I4" s="13"/>
      <c r="J4" s="4"/>
      <c r="X4" s="200" t="s">
        <v>33</v>
      </c>
      <c r="Y4" s="200"/>
      <c r="Z4" s="200"/>
      <c r="AA4" s="200"/>
      <c r="AB4" s="201"/>
      <c r="AD4" s="16" t="s">
        <v>3</v>
      </c>
      <c r="AE4" s="17">
        <v>2</v>
      </c>
      <c r="AF4" s="4"/>
      <c r="AG4" t="str">
        <f t="shared" si="0"/>
        <v>Lichte Höhe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s="11" t="s">
        <v>39</v>
      </c>
      <c r="AN4" t="s">
        <v>40</v>
      </c>
      <c r="AO4" t="s">
        <v>41</v>
      </c>
      <c r="AP4" t="s">
        <v>42</v>
      </c>
      <c r="AU4" t="str">
        <f>$AG$108</f>
        <v>Antrieb - rechts</v>
      </c>
    </row>
    <row r="5" spans="1:47" ht="19.5" customHeight="1" thickBot="1">
      <c r="A5" s="5"/>
      <c r="B5" s="18" t="s">
        <v>43</v>
      </c>
      <c r="C5" s="12"/>
      <c r="E5" s="19" t="s">
        <v>4</v>
      </c>
      <c r="H5" s="13" t="str">
        <f>VLOOKUP(AG4,AG2:AR96,$AE$1+1,FALSE)</f>
        <v>Lichte Höhe</v>
      </c>
      <c r="I5" s="13"/>
      <c r="K5" s="19"/>
      <c r="L5" t="s">
        <v>23</v>
      </c>
      <c r="O5" s="20" t="str">
        <f>VLOOKUP(AH99,AH99:AR175,$AE$1,FALSE)</f>
        <v>Fülen Sie bitte markierte Felder!</v>
      </c>
      <c r="X5" s="21"/>
      <c r="Y5" s="21"/>
      <c r="Z5" s="21"/>
      <c r="AB5" s="5"/>
      <c r="AD5" s="16" t="s">
        <v>4</v>
      </c>
      <c r="AE5" s="17">
        <v>3</v>
      </c>
      <c r="AF5" s="4"/>
      <c r="AG5" t="str">
        <f t="shared" si="0"/>
        <v>INNENANSICHT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s="11" t="s">
        <v>49</v>
      </c>
      <c r="AN5" t="s">
        <v>50</v>
      </c>
      <c r="AO5" t="s">
        <v>51</v>
      </c>
      <c r="AP5" t="s">
        <v>52</v>
      </c>
      <c r="AU5" t="str">
        <f>$AG$107</f>
        <v>Antrieb - links</v>
      </c>
    </row>
    <row r="6" spans="1:47" ht="23.25" customHeight="1" thickBot="1">
      <c r="A6" s="5"/>
      <c r="B6" s="18" t="s">
        <v>53</v>
      </c>
      <c r="C6" s="12"/>
      <c r="J6" s="4"/>
      <c r="X6" s="21"/>
      <c r="Y6" s="21"/>
      <c r="Z6" s="21"/>
      <c r="AB6" s="5"/>
      <c r="AD6" s="16" t="s">
        <v>5</v>
      </c>
      <c r="AE6" s="17">
        <v>4</v>
      </c>
      <c r="AF6" s="4"/>
      <c r="AG6" t="str">
        <f t="shared" si="0"/>
        <v>DURCHSCHNITT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s="11" t="s">
        <v>59</v>
      </c>
      <c r="AN6" t="s">
        <v>60</v>
      </c>
      <c r="AO6" t="s">
        <v>61</v>
      </c>
      <c r="AP6" t="s">
        <v>62</v>
      </c>
    </row>
    <row r="7" spans="1:47" ht="19.5" thickBot="1">
      <c r="A7" s="5"/>
      <c r="B7" s="18" t="s">
        <v>63</v>
      </c>
      <c r="C7" s="18"/>
      <c r="H7" s="13" t="str">
        <f>VLOOKUP(AG101,AG8:AR101,$AE$1+1,FALSE)</f>
        <v>Bedienung</v>
      </c>
      <c r="J7" s="4"/>
      <c r="K7" s="202"/>
      <c r="L7" s="202"/>
      <c r="M7" s="202"/>
      <c r="N7" s="202"/>
      <c r="O7" s="176"/>
      <c r="P7" s="176"/>
      <c r="R7" s="203"/>
      <c r="S7" s="203"/>
      <c r="X7" s="21"/>
      <c r="Y7" s="21"/>
      <c r="Z7" s="21"/>
      <c r="AB7" s="5"/>
      <c r="AD7" s="16" t="s">
        <v>6</v>
      </c>
      <c r="AE7" s="22">
        <v>5</v>
      </c>
      <c r="AF7" s="4"/>
      <c r="AG7" t="str">
        <f t="shared" si="0"/>
        <v>DURCHSCHNITT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s="11" t="s">
        <v>69</v>
      </c>
      <c r="AN7" t="s">
        <v>70</v>
      </c>
      <c r="AO7" t="s">
        <v>71</v>
      </c>
      <c r="AP7" t="s">
        <v>72</v>
      </c>
    </row>
    <row r="8" spans="1:47" ht="19.5" thickBot="1">
      <c r="A8" s="5"/>
      <c r="B8" s="18" t="s">
        <v>19</v>
      </c>
      <c r="C8" s="18"/>
      <c r="D8" s="20"/>
      <c r="E8" s="20"/>
      <c r="F8" s="20"/>
      <c r="G8" s="10"/>
      <c r="X8" s="21"/>
      <c r="Y8" s="21"/>
      <c r="Z8" s="21"/>
      <c r="AB8" s="5"/>
      <c r="AD8" s="16" t="s">
        <v>7</v>
      </c>
      <c r="AE8" s="22">
        <v>6</v>
      </c>
      <c r="AG8" t="str">
        <f t="shared" si="0"/>
        <v>ACHTUNG: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s="11" t="s">
        <v>78</v>
      </c>
      <c r="AN8" t="s">
        <v>79</v>
      </c>
      <c r="AO8" t="s">
        <v>80</v>
      </c>
      <c r="AP8" t="s">
        <v>81</v>
      </c>
    </row>
    <row r="9" spans="1:47" ht="19.5" thickBot="1">
      <c r="A9" s="5"/>
      <c r="B9" s="18" t="s">
        <v>20</v>
      </c>
      <c r="C9" s="18"/>
      <c r="H9" s="13" t="str">
        <f>AG120</f>
        <v>Paneel-Typ</v>
      </c>
      <c r="K9" s="193"/>
      <c r="L9" s="193"/>
      <c r="M9" s="193"/>
      <c r="O9" s="13"/>
      <c r="P9" s="13"/>
      <c r="R9" s="204"/>
      <c r="S9" s="204"/>
      <c r="T9" s="23"/>
      <c r="AB9" s="5"/>
      <c r="AD9" s="16" t="s">
        <v>8</v>
      </c>
      <c r="AE9" s="22">
        <v>7</v>
      </c>
    </row>
    <row r="10" spans="1:47" ht="19.5" thickBot="1">
      <c r="A10" s="5"/>
      <c r="B10" s="18" t="s">
        <v>21</v>
      </c>
      <c r="C10" s="18"/>
      <c r="H10" s="13"/>
      <c r="K10" s="4"/>
      <c r="L10" s="4"/>
      <c r="M10" s="4"/>
      <c r="O10" s="13"/>
      <c r="P10" s="13"/>
      <c r="R10" s="4"/>
      <c r="S10" s="4"/>
      <c r="T10" s="23"/>
      <c r="AB10" s="5"/>
      <c r="AD10" s="16" t="s">
        <v>9</v>
      </c>
      <c r="AE10" s="22">
        <v>8</v>
      </c>
    </row>
    <row r="11" spans="1:47" ht="19.5" thickBot="1">
      <c r="B11" s="24"/>
      <c r="D11" s="176" t="str">
        <f>VLOOKUP($AG$5,$AG$2:$AR$96,$AE$1+1,FALSE)</f>
        <v>INNENANSICHT</v>
      </c>
      <c r="E11" s="176"/>
      <c r="F11" s="176"/>
      <c r="H11" s="13" t="str">
        <f>AG126</f>
        <v>Laufschienen-Typ</v>
      </c>
      <c r="K11" s="193"/>
      <c r="L11" s="193"/>
      <c r="M11" s="193"/>
      <c r="O11" s="13"/>
      <c r="P11" s="13"/>
      <c r="Q11" s="13" t="str">
        <f>VLOOKUP(AG6,AG2:AR96,$AE$1+1,FALSE)</f>
        <v>DURCHSCHNITT A-A</v>
      </c>
      <c r="R11" s="4"/>
      <c r="S11" s="4"/>
      <c r="T11" s="23"/>
      <c r="AB11" s="5"/>
      <c r="AD11" s="16" t="s">
        <v>10</v>
      </c>
      <c r="AE11" s="22">
        <v>9</v>
      </c>
    </row>
    <row r="12" spans="1:47">
      <c r="B12" s="24"/>
      <c r="H12" s="25"/>
      <c r="AB12" s="5"/>
      <c r="AG12" t="str">
        <f t="shared" si="0"/>
        <v>VERTIKALER BESCHLAG (VL)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s="11" t="s">
        <v>87</v>
      </c>
      <c r="AN12" t="s">
        <v>88</v>
      </c>
      <c r="AO12" t="s">
        <v>89</v>
      </c>
      <c r="AP12" t="s">
        <v>90</v>
      </c>
    </row>
    <row r="13" spans="1:47" ht="18.75">
      <c r="B13" s="24"/>
      <c r="C13" s="25"/>
      <c r="E13" s="194"/>
      <c r="G13" s="186"/>
      <c r="K13" s="26" t="str">
        <f>IF(OR(K11=AG127,K11=AG128),"W&gt;7500 mm =&gt; 3'","")</f>
        <v/>
      </c>
      <c r="Q13" s="195"/>
      <c r="R13" s="195"/>
      <c r="AB13" s="5"/>
      <c r="AG13" t="str">
        <f t="shared" si="0"/>
        <v>Federn oberhalb des Sturzes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s="11" t="s">
        <v>96</v>
      </c>
      <c r="AN13" t="s">
        <v>97</v>
      </c>
      <c r="AO13" t="s">
        <v>98</v>
      </c>
      <c r="AP13" t="s">
        <v>99</v>
      </c>
    </row>
    <row r="14" spans="1:47" ht="18.75">
      <c r="B14" s="24"/>
      <c r="E14" s="194"/>
      <c r="G14" s="186"/>
      <c r="K14" s="26" t="str">
        <f>IF(OR(K11=AG127,K11=AG128),"H&gt; 4500 mm &amp;W&gt;6500 mm =&gt; 3'","")</f>
        <v/>
      </c>
      <c r="Q14" s="27"/>
      <c r="R14" s="27"/>
      <c r="AB14" s="5"/>
      <c r="AG14" t="str">
        <f t="shared" si="0"/>
        <v>pro HL&gt;600 und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s="11" t="s">
        <v>105</v>
      </c>
      <c r="AN14" t="s">
        <v>106</v>
      </c>
      <c r="AO14" t="s">
        <v>107</v>
      </c>
      <c r="AP14" t="s">
        <v>108</v>
      </c>
    </row>
    <row r="15" spans="1:47" ht="15" customHeight="1">
      <c r="B15" s="24"/>
      <c r="G15" s="186"/>
      <c r="I15" s="28"/>
      <c r="R15" s="25"/>
      <c r="AB15" s="5"/>
      <c r="AG15" t="str">
        <f t="shared" si="0"/>
        <v>Paneel 40 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s="11" t="s">
        <v>114</v>
      </c>
      <c r="AN15" t="s">
        <v>111</v>
      </c>
      <c r="AO15" t="s">
        <v>115</v>
      </c>
      <c r="AP15" t="s">
        <v>116</v>
      </c>
    </row>
    <row r="16" spans="1:47" ht="15" customHeight="1">
      <c r="B16" s="182"/>
      <c r="C16" s="177"/>
      <c r="D16" s="29"/>
      <c r="E16" s="29"/>
      <c r="F16" s="29"/>
      <c r="G16" s="186"/>
      <c r="H16" s="28"/>
      <c r="I16" s="28"/>
      <c r="S16" s="188"/>
      <c r="AB16" s="5"/>
      <c r="AG16" t="str">
        <f t="shared" si="0"/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s="11" t="s">
        <v>118</v>
      </c>
      <c r="AN16" t="s">
        <v>117</v>
      </c>
      <c r="AO16" t="s">
        <v>117</v>
      </c>
      <c r="AP16" t="s">
        <v>119</v>
      </c>
    </row>
    <row r="17" spans="1:42" ht="15" customHeight="1">
      <c r="B17" s="182"/>
      <c r="C17" s="177"/>
      <c r="D17" s="29"/>
      <c r="E17" s="29"/>
      <c r="F17" s="29"/>
      <c r="G17" s="186"/>
      <c r="H17" s="189"/>
      <c r="S17" s="188"/>
      <c r="AB17" s="5"/>
      <c r="AK17" s="10"/>
      <c r="AL17" s="10"/>
    </row>
    <row r="18" spans="1:42" ht="15" customHeight="1">
      <c r="B18" s="182"/>
      <c r="C18" s="177"/>
      <c r="D18" s="29"/>
      <c r="E18" s="29"/>
      <c r="F18" s="29"/>
      <c r="G18" s="186"/>
      <c r="H18" s="189"/>
      <c r="I18" s="28"/>
      <c r="M18" s="30"/>
      <c r="N18" s="190"/>
      <c r="S18" s="31"/>
      <c r="T18" s="32"/>
      <c r="U18" s="32"/>
      <c r="AB18" s="5"/>
    </row>
    <row r="19" spans="1:42" ht="29.25" customHeight="1">
      <c r="B19" s="182"/>
      <c r="C19" s="177"/>
      <c r="D19" s="29"/>
      <c r="E19" s="29"/>
      <c r="F19" s="29"/>
      <c r="G19" s="29"/>
      <c r="H19" t="str">
        <f xml:space="preserve"> "(1) " &amp; $AG$37</f>
        <v>(1) BENÖTIGTER FREIRAUM</v>
      </c>
      <c r="M19" s="30"/>
      <c r="N19" s="190"/>
      <c r="R19" s="191"/>
      <c r="S19" s="187"/>
      <c r="T19" s="32"/>
      <c r="U19" s="32"/>
      <c r="AB19" s="5"/>
    </row>
    <row r="20" spans="1:42">
      <c r="B20" s="182"/>
      <c r="C20" s="192"/>
      <c r="D20" s="29"/>
      <c r="E20" s="29"/>
      <c r="F20" s="29"/>
      <c r="G20" s="29"/>
      <c r="H20" s="33"/>
      <c r="I20" s="34"/>
      <c r="R20" s="191"/>
      <c r="S20" s="187"/>
      <c r="T20" s="35"/>
      <c r="U20" s="29"/>
      <c r="AB20" s="5"/>
      <c r="AG20" t="str">
        <f t="shared" si="0"/>
        <v>Montage auf Mauerwerk und Ziegel</v>
      </c>
      <c r="AH20" t="s">
        <v>120</v>
      </c>
      <c r="AI20" t="s">
        <v>121</v>
      </c>
      <c r="AJ20" t="s">
        <v>122</v>
      </c>
      <c r="AK20" t="s">
        <v>123</v>
      </c>
      <c r="AL20" t="s">
        <v>124</v>
      </c>
      <c r="AM20" s="11" t="s">
        <v>125</v>
      </c>
      <c r="AN20" t="s">
        <v>126</v>
      </c>
      <c r="AO20" t="s">
        <v>127</v>
      </c>
      <c r="AP20" t="s">
        <v>128</v>
      </c>
    </row>
    <row r="21" spans="1:42" ht="15.75" customHeight="1">
      <c r="B21" s="182"/>
      <c r="C21" s="192"/>
      <c r="D21" s="29"/>
      <c r="E21" s="29"/>
      <c r="F21" s="29"/>
      <c r="G21" s="29"/>
      <c r="H21" s="36" t="str">
        <f>IF(K7=AU1,"","(2) "&amp;$AG$48)</f>
        <v xml:space="preserve">(2) Benötigter Freiraum bei Elektro- oder Haspelkettenbedienung </v>
      </c>
      <c r="I21" s="21"/>
      <c r="R21" s="191"/>
      <c r="S21" s="187"/>
      <c r="T21" s="29"/>
      <c r="U21" s="180"/>
      <c r="AB21" s="5"/>
      <c r="AG21" t="str">
        <f t="shared" si="0"/>
        <v>Montage auf Porenbeton oder Gasbeton</v>
      </c>
      <c r="AH21" t="s">
        <v>129</v>
      </c>
      <c r="AI21" t="s">
        <v>130</v>
      </c>
      <c r="AJ21" t="s">
        <v>131</v>
      </c>
      <c r="AK21" t="s">
        <v>132</v>
      </c>
      <c r="AL21" t="s">
        <v>133</v>
      </c>
      <c r="AM21" s="11" t="s">
        <v>134</v>
      </c>
      <c r="AN21" t="s">
        <v>135</v>
      </c>
      <c r="AO21" t="s">
        <v>136</v>
      </c>
      <c r="AP21" t="s">
        <v>137</v>
      </c>
    </row>
    <row r="22" spans="1:42" ht="33.75" customHeight="1">
      <c r="B22" s="182"/>
      <c r="C22" s="192"/>
      <c r="D22" s="29"/>
      <c r="E22" s="29"/>
      <c r="F22" s="29"/>
      <c r="G22" s="29"/>
      <c r="H22" s="37" t="str">
        <f>IF(OR(K7=AU1,K7=AU2,K7=AU3),"","(3) "&amp;$AG$49)</f>
        <v>(3) Montagefläche für Antriebsteuerung. Siehe Produktdokumentation für Abmessungen</v>
      </c>
      <c r="S22" s="29"/>
      <c r="T22" s="181"/>
      <c r="U22" s="180"/>
      <c r="AB22" s="5"/>
      <c r="AG22" t="str">
        <f t="shared" si="0"/>
        <v>Montage auf ISO-Trapezblechfassade</v>
      </c>
      <c r="AH22" t="s">
        <v>138</v>
      </c>
      <c r="AI22" t="s">
        <v>139</v>
      </c>
      <c r="AJ22" t="s">
        <v>140</v>
      </c>
      <c r="AK22" t="s">
        <v>141</v>
      </c>
      <c r="AL22" t="s">
        <v>142</v>
      </c>
      <c r="AM22" s="11" t="s">
        <v>143</v>
      </c>
      <c r="AN22" t="s">
        <v>144</v>
      </c>
      <c r="AO22" t="s">
        <v>145</v>
      </c>
      <c r="AP22" t="s">
        <v>146</v>
      </c>
    </row>
    <row r="23" spans="1:42" ht="15.75" customHeight="1">
      <c r="B23" s="182"/>
      <c r="C23" s="38"/>
      <c r="D23" s="29"/>
      <c r="E23" s="29"/>
      <c r="F23" s="29"/>
      <c r="G23" s="29"/>
      <c r="H23" s="39" t="str">
        <f>IF(OR(K7=AU1,K7=AU2,K7=AU3),"","     "&amp;$AG$50)</f>
        <v xml:space="preserve">     Achse ca. 1.400 bis 1.500 mm vom Boden</v>
      </c>
      <c r="S23" s="29"/>
      <c r="T23" s="181"/>
      <c r="U23" s="40"/>
      <c r="AB23" s="5"/>
    </row>
    <row r="24" spans="1:42" ht="15.75" customHeight="1">
      <c r="B24" s="182"/>
      <c r="C24" s="38"/>
      <c r="D24" s="29"/>
      <c r="E24" s="29"/>
      <c r="F24" s="29"/>
      <c r="G24" s="29"/>
      <c r="H24" s="41" t="str">
        <f>IF(OR(K7=AU1,K7=AU2,K7=AU3),"","(4) "&amp;$AG$51)</f>
        <v>(4) Die Parameter der Steckdosen sind in der Produktdokumentation zu finden.</v>
      </c>
      <c r="S24" s="29"/>
      <c r="T24" s="29"/>
      <c r="U24" s="35"/>
      <c r="AB24" s="5"/>
    </row>
    <row r="25" spans="1:42" ht="15.75">
      <c r="B25" s="182"/>
      <c r="C25" s="38"/>
      <c r="D25" s="29"/>
      <c r="E25" s="29"/>
      <c r="F25" s="29"/>
      <c r="G25" s="29"/>
      <c r="I25" s="21"/>
      <c r="J25" s="21"/>
      <c r="K25" s="21"/>
      <c r="L25" s="21"/>
      <c r="M25" s="21"/>
      <c r="N25" s="21"/>
      <c r="O25" s="21"/>
      <c r="P25" s="21"/>
      <c r="Q25" s="21"/>
      <c r="S25" s="29"/>
      <c r="T25" s="180"/>
      <c r="U25" s="29"/>
      <c r="AB25" s="5"/>
      <c r="AG25" t="str">
        <f t="shared" si="0"/>
        <v>VORBEREITUNGEN UND ARBEITEN DIE VOM AUFTRAGGEBER ZU ERBRINGEN SIND, AUßER BEI SCHRIFTLICHER VEREINBARUNG IM VORAUS:</v>
      </c>
      <c r="AH25" t="s">
        <v>147</v>
      </c>
      <c r="AI25" t="s">
        <v>148</v>
      </c>
      <c r="AJ25" t="s">
        <v>149</v>
      </c>
      <c r="AK25" t="s">
        <v>150</v>
      </c>
      <c r="AL25" t="s">
        <v>151</v>
      </c>
      <c r="AM25" s="11" t="s">
        <v>152</v>
      </c>
      <c r="AN25" t="s">
        <v>153</v>
      </c>
      <c r="AO25" t="s">
        <v>154</v>
      </c>
      <c r="AP25" t="s">
        <v>155</v>
      </c>
    </row>
    <row r="26" spans="1:42" ht="15.75" customHeight="1">
      <c r="B26" s="182"/>
      <c r="C26" s="183"/>
      <c r="D26" s="29"/>
      <c r="E26" s="29"/>
      <c r="F26" s="29"/>
      <c r="G26" s="29"/>
      <c r="H26" t="str">
        <f>IF(OR(K7=AU1,K7=AU2,K7=AU3),"","(5) "&amp;$AG$36)</f>
        <v xml:space="preserve">(5) MONTAGEFLÄCHE FÜR DEN MOTOR </v>
      </c>
      <c r="I26" s="42"/>
      <c r="J26" s="42"/>
      <c r="K26" s="21"/>
      <c r="L26" s="21"/>
      <c r="M26" s="21"/>
      <c r="N26" s="21"/>
      <c r="O26" s="21"/>
      <c r="P26" s="21"/>
      <c r="Q26" s="21"/>
      <c r="S26" s="29"/>
      <c r="T26" s="180"/>
      <c r="U26" s="29"/>
      <c r="Y26" s="21" t="str">
        <f>VLOOKUP(AG20,AG2:AR96,$AE$1+1,FALSE)</f>
        <v>Montage auf Mauerwerk und Ziegel</v>
      </c>
      <c r="Z26" s="21"/>
      <c r="AB26" s="5"/>
      <c r="AG26" t="str">
        <f t="shared" si="0"/>
        <v>Bauseits:</v>
      </c>
      <c r="AH26" t="s">
        <v>156</v>
      </c>
      <c r="AI26" t="s">
        <v>157</v>
      </c>
      <c r="AJ26" t="s">
        <v>158</v>
      </c>
      <c r="AK26" t="s">
        <v>159</v>
      </c>
      <c r="AL26" t="s">
        <v>160</v>
      </c>
      <c r="AM26" s="11" t="s">
        <v>161</v>
      </c>
      <c r="AN26" t="s">
        <v>162</v>
      </c>
      <c r="AO26" t="s">
        <v>163</v>
      </c>
      <c r="AP26" t="s">
        <v>164</v>
      </c>
    </row>
    <row r="27" spans="1:42" ht="15.75">
      <c r="B27" s="184"/>
      <c r="C27" s="183"/>
      <c r="D27" s="29"/>
      <c r="E27" s="29"/>
      <c r="F27" s="29"/>
      <c r="G27" s="29"/>
      <c r="I27" s="42"/>
      <c r="J27" s="42"/>
      <c r="K27" s="21"/>
      <c r="L27" s="21"/>
      <c r="M27" s="21"/>
      <c r="N27" s="21"/>
      <c r="O27" s="21"/>
      <c r="P27" s="21"/>
      <c r="Q27" s="21"/>
      <c r="S27" s="185"/>
      <c r="T27" s="180"/>
      <c r="U27" s="29"/>
      <c r="Y27" s="21"/>
      <c r="Z27" s="21"/>
      <c r="AB27" s="5"/>
      <c r="AG27" t="str">
        <f t="shared" si="0"/>
        <v>Ein stählerner Montagerahmen zur Befestigung der vertikalen Laufschienen und des Federpakets bei nicht tragfähigen Flächen wie z.B. Porenbeton, Gasbeton, Isolationspanelen u.s.w..</v>
      </c>
      <c r="AH27" t="s">
        <v>165</v>
      </c>
      <c r="AI27" t="s">
        <v>166</v>
      </c>
      <c r="AJ27" t="s">
        <v>167</v>
      </c>
      <c r="AK27" t="s">
        <v>168</v>
      </c>
      <c r="AL27" t="s">
        <v>169</v>
      </c>
      <c r="AM27" s="11" t="s">
        <v>170</v>
      </c>
      <c r="AN27" t="s">
        <v>171</v>
      </c>
      <c r="AO27" t="s">
        <v>172</v>
      </c>
      <c r="AP27" t="s">
        <v>173</v>
      </c>
    </row>
    <row r="28" spans="1:42" ht="29.25" customHeight="1">
      <c r="B28" s="184"/>
      <c r="C28" s="183"/>
      <c r="D28" s="29"/>
      <c r="E28" s="29"/>
      <c r="F28" s="29"/>
      <c r="G28" s="186"/>
      <c r="H28" s="187"/>
      <c r="I28" s="21"/>
      <c r="J28" s="21"/>
      <c r="K28" s="21"/>
      <c r="L28" s="21"/>
      <c r="M28" s="21"/>
      <c r="N28" s="21"/>
      <c r="O28" s="21"/>
      <c r="P28" s="21"/>
      <c r="Q28" s="21"/>
      <c r="S28" s="185"/>
      <c r="T28" s="29"/>
      <c r="U28" s="29"/>
      <c r="Y28" s="21"/>
      <c r="Z28" s="21"/>
      <c r="AB28" s="5"/>
      <c r="AG28" t="str">
        <f t="shared" si="0"/>
        <v>Befestigungsmöglichkeit für die Zwischen- und Endaufhängung der horizontalen Laufschienen bis zu max. 1 m über diesen Laufschienen.</v>
      </c>
      <c r="AH28" t="s">
        <v>174</v>
      </c>
      <c r="AI28" t="s">
        <v>175</v>
      </c>
      <c r="AJ28" t="s">
        <v>176</v>
      </c>
      <c r="AK28" t="s">
        <v>177</v>
      </c>
      <c r="AL28" t="s">
        <v>178</v>
      </c>
      <c r="AM28" s="11" t="s">
        <v>179</v>
      </c>
      <c r="AN28" t="s">
        <v>180</v>
      </c>
      <c r="AO28" t="s">
        <v>181</v>
      </c>
      <c r="AP28" t="s">
        <v>182</v>
      </c>
    </row>
    <row r="29" spans="1:42" ht="15.75">
      <c r="A29" s="5"/>
      <c r="B29" s="29"/>
      <c r="C29" s="43"/>
      <c r="D29" s="29"/>
      <c r="E29" s="29"/>
      <c r="F29" s="44"/>
      <c r="G29" s="186"/>
      <c r="H29" s="187"/>
      <c r="I29" s="21"/>
      <c r="J29" s="21"/>
      <c r="K29" s="21"/>
      <c r="L29" s="21"/>
      <c r="M29" s="21"/>
      <c r="N29" s="21"/>
      <c r="O29" s="21"/>
      <c r="P29" s="21"/>
      <c r="Q29" s="21"/>
      <c r="S29" s="185"/>
      <c r="Y29" s="21"/>
      <c r="Z29" s="21"/>
      <c r="AB29" s="5"/>
      <c r="AG29" t="str">
        <f t="shared" si="0"/>
        <v>Benötigte Montageflächen und Freiräume gemäß Zeichnung.</v>
      </c>
      <c r="AH29" t="s">
        <v>183</v>
      </c>
      <c r="AI29" t="s">
        <v>184</v>
      </c>
      <c r="AJ29" t="s">
        <v>185</v>
      </c>
      <c r="AK29" t="s">
        <v>186</v>
      </c>
      <c r="AL29" t="s">
        <v>187</v>
      </c>
      <c r="AM29" s="11" t="s">
        <v>188</v>
      </c>
      <c r="AN29" t="s">
        <v>189</v>
      </c>
      <c r="AO29" t="s">
        <v>190</v>
      </c>
      <c r="AP29" t="s">
        <v>191</v>
      </c>
    </row>
    <row r="30" spans="1:42" ht="17.25" customHeight="1">
      <c r="A30" s="5"/>
      <c r="B30" s="29"/>
      <c r="C30" s="29"/>
      <c r="D30" s="29"/>
      <c r="E30" s="29"/>
      <c r="F30" s="29"/>
      <c r="G30" s="29"/>
      <c r="H30" s="29"/>
      <c r="I30" s="29"/>
      <c r="L30" s="45"/>
      <c r="M30" s="45"/>
      <c r="N30" s="45"/>
      <c r="O30" s="45"/>
      <c r="P30" s="45"/>
      <c r="Q30" s="45"/>
      <c r="Y30" s="21"/>
      <c r="Z30" s="21"/>
      <c r="AB30" s="5"/>
      <c r="AG30" t="str">
        <f t="shared" si="0"/>
        <v>Elektrisch (bei elektrisch bedienten Toren):</v>
      </c>
      <c r="AH30" t="s">
        <v>192</v>
      </c>
      <c r="AI30" t="s">
        <v>193</v>
      </c>
      <c r="AJ30" t="s">
        <v>194</v>
      </c>
      <c r="AK30" t="s">
        <v>195</v>
      </c>
      <c r="AL30" t="s">
        <v>196</v>
      </c>
      <c r="AM30" s="10"/>
      <c r="AN30" t="s">
        <v>197</v>
      </c>
      <c r="AO30" t="s">
        <v>198</v>
      </c>
      <c r="AP30" t="s">
        <v>199</v>
      </c>
    </row>
    <row r="31" spans="1:42" ht="15.75" customHeight="1">
      <c r="A31" s="5"/>
      <c r="B31" s="29"/>
      <c r="C31" s="29"/>
      <c r="D31" s="29"/>
      <c r="E31" s="44"/>
      <c r="F31" s="29"/>
      <c r="G31" s="29"/>
      <c r="H31" s="46"/>
      <c r="I31" s="29"/>
      <c r="K31" s="45"/>
      <c r="L31" s="45"/>
      <c r="M31" s="45"/>
      <c r="N31" s="45"/>
      <c r="O31" s="45"/>
      <c r="P31" s="45"/>
      <c r="Q31" s="45"/>
      <c r="Y31" s="21" t="str">
        <f>VLOOKUP(AG21,AG2:AR96,$AE$1+1,FALSE)</f>
        <v>Montage auf Porenbeton oder Gasbeton</v>
      </c>
      <c r="Z31" s="21"/>
      <c r="AB31" s="5"/>
      <c r="AG31" t="str">
        <f t="shared" si="0"/>
        <v>Stromzufuhr 400V/230V mittels Eurosteckdose, 3 Phasen+0+PE max.1 meter vom Schaltkasten.</v>
      </c>
      <c r="AH31" t="s">
        <v>200</v>
      </c>
      <c r="AI31" t="s">
        <v>201</v>
      </c>
      <c r="AJ31" t="s">
        <v>202</v>
      </c>
      <c r="AK31" t="s">
        <v>203</v>
      </c>
      <c r="AL31" t="s">
        <v>204</v>
      </c>
      <c r="AM31" s="11" t="s">
        <v>205</v>
      </c>
      <c r="AN31" t="s">
        <v>206</v>
      </c>
      <c r="AO31" t="s">
        <v>207</v>
      </c>
      <c r="AP31" t="s">
        <v>208</v>
      </c>
    </row>
    <row r="32" spans="1:42" ht="15.75" customHeight="1">
      <c r="A32" s="5"/>
      <c r="B32" s="47">
        <f>IF(K7=AG102,125,IF(AND(K7=AG103,R7=AG107),375,IF(AND(K7=AG104,R7=AG107),375,125)))</f>
        <v>125</v>
      </c>
      <c r="C32" s="48"/>
      <c r="D32" s="23"/>
      <c r="F32" s="29"/>
      <c r="G32" s="48"/>
      <c r="H32" s="23"/>
      <c r="I32" s="47">
        <f>IF(K7=AG102,125,IF(AND(K7=AG103,R7=AG108),375,IF(AND(K7=AG104,R7=AG108),375,125)))</f>
        <v>125</v>
      </c>
      <c r="Y32" s="21"/>
      <c r="Z32" s="21"/>
      <c r="AB32" s="5"/>
      <c r="AG32" t="str">
        <f t="shared" si="0"/>
        <v>Montagefläche für Schaltkasten, Abmessungen 250 x 400 mm</v>
      </c>
      <c r="AH32" t="s">
        <v>209</v>
      </c>
      <c r="AI32" t="s">
        <v>210</v>
      </c>
      <c r="AJ32" t="s">
        <v>211</v>
      </c>
      <c r="AK32" t="s">
        <v>212</v>
      </c>
      <c r="AL32" t="s">
        <v>213</v>
      </c>
      <c r="AM32" s="11" t="s">
        <v>214</v>
      </c>
      <c r="AN32" t="s">
        <v>215</v>
      </c>
      <c r="AO32" t="s">
        <v>216</v>
      </c>
      <c r="AP32" t="s">
        <v>217</v>
      </c>
    </row>
    <row r="33" spans="1:42" ht="15.75">
      <c r="A33" s="5"/>
      <c r="B33" s="29"/>
      <c r="C33" s="29"/>
      <c r="D33" s="171"/>
      <c r="E33" s="171"/>
      <c r="F33" s="171"/>
      <c r="G33" s="29"/>
      <c r="H33" s="49"/>
      <c r="I33" s="29"/>
      <c r="Y33" s="21"/>
      <c r="Z33" s="21"/>
      <c r="AB33" s="5"/>
    </row>
    <row r="34" spans="1:42" ht="15.75">
      <c r="B34" s="48"/>
      <c r="E34" s="50"/>
      <c r="G34" s="25"/>
      <c r="H34" s="46"/>
      <c r="Y34" s="21"/>
      <c r="Z34" s="21"/>
      <c r="AB34" s="5"/>
    </row>
    <row r="35" spans="1:42" ht="15.75">
      <c r="B35" s="24"/>
      <c r="E35" s="172"/>
      <c r="F35" s="172"/>
      <c r="G35" s="172"/>
      <c r="Q35" s="173">
        <f>IF($K$9=$AG$122,290,250)</f>
        <v>250</v>
      </c>
      <c r="Y35" s="21"/>
      <c r="Z35" s="21"/>
      <c r="AB35" s="5"/>
      <c r="AG35" t="str">
        <f t="shared" si="0"/>
        <v>BENÖTIGTE MONTAGEFLÄCHEN</v>
      </c>
      <c r="AH35" t="s">
        <v>218</v>
      </c>
      <c r="AI35" t="s">
        <v>219</v>
      </c>
      <c r="AJ35" t="s">
        <v>220</v>
      </c>
      <c r="AK35" t="s">
        <v>221</v>
      </c>
      <c r="AL35" t="s">
        <v>222</v>
      </c>
      <c r="AM35" s="11" t="s">
        <v>223</v>
      </c>
      <c r="AN35" t="s">
        <v>224</v>
      </c>
      <c r="AO35" t="s">
        <v>225</v>
      </c>
      <c r="AP35" t="s">
        <v>226</v>
      </c>
    </row>
    <row r="36" spans="1:42" ht="63" customHeight="1">
      <c r="B36" s="24"/>
      <c r="C36" s="51"/>
      <c r="E36" s="52"/>
      <c r="F36" s="53"/>
      <c r="G36" s="54"/>
      <c r="H36" s="51"/>
      <c r="I36" s="55"/>
      <c r="J36" s="56"/>
      <c r="Q36" s="173"/>
      <c r="Y36" s="174" t="str">
        <f>VLOOKUP(AG22,AG2:AR96,$AE$1+1,FALSE)</f>
        <v>Montage auf ISO-Trapezblechfassade</v>
      </c>
      <c r="Z36" s="174"/>
      <c r="AA36" s="174"/>
      <c r="AB36" s="175"/>
      <c r="AG36" t="str">
        <f t="shared" si="0"/>
        <v xml:space="preserve">MONTAGEFLÄCHE FÜR DEN MOTOR </v>
      </c>
      <c r="AH36" t="s">
        <v>227</v>
      </c>
      <c r="AI36" t="s">
        <v>228</v>
      </c>
      <c r="AJ36" t="s">
        <v>229</v>
      </c>
      <c r="AK36" t="s">
        <v>230</v>
      </c>
      <c r="AL36" t="s">
        <v>231</v>
      </c>
      <c r="AM36" t="s">
        <v>232</v>
      </c>
      <c r="AN36" t="s">
        <v>233</v>
      </c>
      <c r="AO36" t="s">
        <v>234</v>
      </c>
      <c r="AP36" t="s">
        <v>235</v>
      </c>
    </row>
    <row r="37" spans="1:42" ht="15.75" customHeight="1">
      <c r="B37" s="24"/>
      <c r="D37" s="176" t="str">
        <f>VLOOKUP(AG$7,AG2:$AR$96,$AE$1+1,FALSE)</f>
        <v>DURCHSCHNITT B-B</v>
      </c>
      <c r="E37" s="176"/>
      <c r="L37" s="21" t="str">
        <f>VLOOKUP(AG41,AG2:AR96,$AE$1+1,FALSE)</f>
        <v>Bodenneigung</v>
      </c>
      <c r="Y37" s="57"/>
      <c r="Z37" s="57"/>
      <c r="AA37" s="57"/>
      <c r="AB37" s="5"/>
      <c r="AG37" t="str">
        <f t="shared" si="0"/>
        <v>BENÖTIGTER FREIRAUM</v>
      </c>
      <c r="AH37" t="s">
        <v>236</v>
      </c>
      <c r="AI37" t="s">
        <v>237</v>
      </c>
      <c r="AJ37" t="s">
        <v>238</v>
      </c>
      <c r="AK37" t="s">
        <v>239</v>
      </c>
      <c r="AL37" t="s">
        <v>240</v>
      </c>
      <c r="AM37" t="s">
        <v>241</v>
      </c>
      <c r="AN37" t="s">
        <v>242</v>
      </c>
      <c r="AO37" t="s">
        <v>243</v>
      </c>
      <c r="AP37" t="s">
        <v>244</v>
      </c>
    </row>
    <row r="38" spans="1:42" ht="15.75">
      <c r="B38" s="24"/>
      <c r="N38" s="21"/>
      <c r="AB38" s="5"/>
      <c r="AL38" s="58"/>
    </row>
    <row r="39" spans="1:42" ht="15.75" customHeight="1">
      <c r="B39" s="24"/>
      <c r="C39" s="177"/>
      <c r="N39" s="21"/>
      <c r="O39" s="21"/>
      <c r="Y39" s="178"/>
      <c r="Z39" s="178"/>
      <c r="AA39" s="178"/>
      <c r="AB39" s="5"/>
    </row>
    <row r="40" spans="1:42" ht="15.75">
      <c r="B40" s="24"/>
      <c r="C40" s="177"/>
      <c r="D40" s="46"/>
      <c r="E40" s="179"/>
      <c r="F40" s="179"/>
      <c r="N40" s="21"/>
      <c r="O40" s="21"/>
      <c r="Y40" s="178"/>
      <c r="Z40" s="178"/>
      <c r="AA40" s="178"/>
      <c r="AB40" s="5"/>
    </row>
    <row r="41" spans="1:42" ht="15.75">
      <c r="B41" s="59"/>
      <c r="C41" s="177"/>
      <c r="N41" s="21"/>
      <c r="O41" s="21"/>
      <c r="AB41" s="5"/>
      <c r="AG41" t="str">
        <f t="shared" si="0"/>
        <v>Bodenneigung</v>
      </c>
      <c r="AH41" t="s">
        <v>245</v>
      </c>
      <c r="AI41" t="s">
        <v>246</v>
      </c>
      <c r="AJ41" t="s">
        <v>247</v>
      </c>
      <c r="AK41" t="s">
        <v>248</v>
      </c>
      <c r="AL41" t="s">
        <v>249</v>
      </c>
      <c r="AM41" s="11" t="s">
        <v>250</v>
      </c>
      <c r="AN41" t="s">
        <v>251</v>
      </c>
      <c r="AO41" t="s">
        <v>252</v>
      </c>
      <c r="AP41" t="s">
        <v>253</v>
      </c>
    </row>
    <row r="42" spans="1:42" ht="15.75">
      <c r="B42" s="24"/>
      <c r="C42" s="177"/>
      <c r="O42" s="21"/>
      <c r="Y42" s="178"/>
      <c r="Z42" s="178"/>
      <c r="AA42" s="178"/>
      <c r="AB42" s="5"/>
      <c r="AG42" t="str">
        <f t="shared" si="0"/>
        <v>nach aussen</v>
      </c>
      <c r="AH42" t="s">
        <v>254</v>
      </c>
      <c r="AI42" t="s">
        <v>255</v>
      </c>
      <c r="AJ42" t="s">
        <v>256</v>
      </c>
      <c r="AK42" t="s">
        <v>257</v>
      </c>
      <c r="AL42" t="str">
        <f>""</f>
        <v/>
      </c>
      <c r="AM42" s="11" t="s">
        <v>258</v>
      </c>
      <c r="AN42" t="s">
        <v>259</v>
      </c>
      <c r="AO42" t="s">
        <v>260</v>
      </c>
    </row>
    <row r="43" spans="1:42" ht="15.75" customHeight="1">
      <c r="B43" s="24"/>
      <c r="C43" s="177"/>
      <c r="E43" s="46"/>
      <c r="F43" s="60"/>
      <c r="G43" s="61"/>
      <c r="N43" s="21"/>
      <c r="O43" s="21"/>
      <c r="Y43" s="178"/>
      <c r="Z43" s="178"/>
      <c r="AA43" s="178"/>
      <c r="AB43" s="5"/>
      <c r="AG43" t="str">
        <f t="shared" si="0"/>
        <v>Gefälle 3%</v>
      </c>
      <c r="AH43" t="s">
        <v>261</v>
      </c>
      <c r="AI43" t="s">
        <v>262</v>
      </c>
      <c r="AJ43" t="s">
        <v>263</v>
      </c>
      <c r="AK43" t="s">
        <v>264</v>
      </c>
      <c r="AL43" t="s">
        <v>265</v>
      </c>
      <c r="AM43" s="11" t="s">
        <v>266</v>
      </c>
      <c r="AN43" t="s">
        <v>267</v>
      </c>
      <c r="AO43" t="s">
        <v>268</v>
      </c>
      <c r="AP43" t="s">
        <v>269</v>
      </c>
    </row>
    <row r="44" spans="1:42" ht="15.75">
      <c r="B44" s="24"/>
      <c r="L44" s="21"/>
      <c r="N44" s="21"/>
      <c r="O44" s="21"/>
      <c r="AB44" s="5"/>
      <c r="AG44" t="str">
        <f t="shared" si="0"/>
        <v>Wasserschenkel</v>
      </c>
      <c r="AH44" t="s">
        <v>254</v>
      </c>
      <c r="AI44" t="s">
        <v>270</v>
      </c>
      <c r="AJ44" t="s">
        <v>271</v>
      </c>
      <c r="AK44" t="s">
        <v>257</v>
      </c>
      <c r="AL44" t="s">
        <v>249</v>
      </c>
      <c r="AM44" s="11" t="s">
        <v>272</v>
      </c>
      <c r="AN44" t="s">
        <v>273</v>
      </c>
      <c r="AO44" t="s">
        <v>274</v>
      </c>
    </row>
    <row r="45" spans="1:42" ht="15.75">
      <c r="B45" s="24"/>
      <c r="N45" s="21"/>
      <c r="O45" s="21"/>
      <c r="R45" s="29" t="str">
        <f>VLOOKUP(AG35,AG2:AR96,$AE$1+1,FALSE)</f>
        <v>BENÖTIGTE MONTAGEFLÄCHEN</v>
      </c>
      <c r="S45" s="29"/>
      <c r="T45" s="29"/>
      <c r="U45" s="29"/>
      <c r="V45" s="29"/>
      <c r="W45" s="29"/>
      <c r="X45" s="29"/>
      <c r="Y45" s="29"/>
      <c r="Z45" s="29"/>
      <c r="AA45" s="29"/>
      <c r="AB45" s="5"/>
      <c r="AG45" t="str">
        <f t="shared" si="0"/>
        <v>Boden mit</v>
      </c>
      <c r="AH45" t="s">
        <v>245</v>
      </c>
      <c r="AI45" t="s">
        <v>275</v>
      </c>
      <c r="AJ45" t="s">
        <v>276</v>
      </c>
      <c r="AK45" t="s">
        <v>248</v>
      </c>
      <c r="AL45" t="str">
        <f>""</f>
        <v/>
      </c>
      <c r="AM45" s="11" t="s">
        <v>277</v>
      </c>
      <c r="AN45" t="s">
        <v>278</v>
      </c>
      <c r="AO45" t="s">
        <v>279</v>
      </c>
      <c r="AP45" t="s">
        <v>280</v>
      </c>
    </row>
    <row r="46" spans="1:42" ht="15.75">
      <c r="B46" s="24"/>
      <c r="O46" s="2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5"/>
    </row>
    <row r="47" spans="1:42">
      <c r="A47" s="5"/>
      <c r="R47" s="29" t="str">
        <f>VLOOKUP(AG36,AG4:AR97,$AE$1+1,FALSE)</f>
        <v xml:space="preserve">MONTAGEFLÄCHE FÜR DEN MOTOR </v>
      </c>
      <c r="S47" s="29"/>
      <c r="T47" s="29"/>
      <c r="U47" s="29"/>
      <c r="V47" s="29"/>
      <c r="W47" s="29"/>
      <c r="X47" s="29" t="str">
        <f>VLOOKUP(AG37,AG4:AR97,$AE$1+1,FALSE)</f>
        <v>BENÖTIGTER FREIRAUM</v>
      </c>
      <c r="Y47" s="29"/>
      <c r="Z47" s="29"/>
      <c r="AA47" s="29"/>
      <c r="AB47" s="5"/>
    </row>
    <row r="48" spans="1:42">
      <c r="A48" s="5"/>
      <c r="AB48" s="5"/>
      <c r="AG48" t="str">
        <f t="shared" si="0"/>
        <v xml:space="preserve">Benötigter Freiraum bei Elektro- oder Haspelkettenbedienung </v>
      </c>
      <c r="AH48" t="s">
        <v>281</v>
      </c>
      <c r="AI48" t="s">
        <v>282</v>
      </c>
      <c r="AJ48" t="s">
        <v>283</v>
      </c>
      <c r="AK48" t="s">
        <v>284</v>
      </c>
      <c r="AL48" t="s">
        <v>285</v>
      </c>
      <c r="AM48" s="11" t="s">
        <v>286</v>
      </c>
      <c r="AN48" t="s">
        <v>287</v>
      </c>
      <c r="AO48" t="s">
        <v>288</v>
      </c>
      <c r="AP48" t="s">
        <v>289</v>
      </c>
    </row>
    <row r="49" spans="1:43" ht="15.75">
      <c r="A49" s="5"/>
      <c r="K49" s="21"/>
      <c r="AB49" s="5"/>
      <c r="AG49" t="str">
        <f t="shared" si="0"/>
        <v>Montagefläche für Antriebsteuerung. Siehe Produktdokumentation für Abmessungen</v>
      </c>
      <c r="AH49" t="s">
        <v>290</v>
      </c>
      <c r="AI49" t="s">
        <v>291</v>
      </c>
      <c r="AJ49" t="s">
        <v>292</v>
      </c>
      <c r="AK49" t="s">
        <v>293</v>
      </c>
      <c r="AL49" t="s">
        <v>294</v>
      </c>
      <c r="AM49" t="s">
        <v>295</v>
      </c>
      <c r="AN49" t="s">
        <v>296</v>
      </c>
      <c r="AO49" t="s">
        <v>297</v>
      </c>
      <c r="AP49" t="s">
        <v>298</v>
      </c>
    </row>
    <row r="50" spans="1:43" ht="15.75">
      <c r="A50" s="5"/>
      <c r="K50" s="21"/>
      <c r="AB50" s="5"/>
      <c r="AG50" t="str">
        <f t="shared" si="0"/>
        <v>Achse ca. 1.400 bis 1.500 mm vom Boden</v>
      </c>
      <c r="AH50" t="s">
        <v>299</v>
      </c>
      <c r="AI50" t="s">
        <v>300</v>
      </c>
      <c r="AJ50" t="s">
        <v>301</v>
      </c>
      <c r="AK50" t="s">
        <v>302</v>
      </c>
      <c r="AL50" t="s">
        <v>303</v>
      </c>
      <c r="AM50" s="11" t="s">
        <v>304</v>
      </c>
      <c r="AN50" t="s">
        <v>305</v>
      </c>
      <c r="AO50" t="s">
        <v>306</v>
      </c>
      <c r="AP50" t="s">
        <v>307</v>
      </c>
    </row>
    <row r="51" spans="1:43" ht="15.75">
      <c r="A51" s="5"/>
      <c r="K51" s="21"/>
      <c r="R51" s="167" t="str">
        <f>VLOOKUP(AG25,AG2:AR96,$AE$1+1,FALSE)</f>
        <v>VORBEREITUNGEN UND ARBEITEN DIE VOM AUFTRAGGEBER ZU ERBRINGEN SIND, AUßER BEI SCHRIFTLICHER VEREINBARUNG IM VORAUS:</v>
      </c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G51" t="str">
        <f t="shared" si="0"/>
        <v>Die Parameter der Steckdosen sind in der Produktdokumentation zu finden.</v>
      </c>
      <c r="AH51" t="s">
        <v>308</v>
      </c>
      <c r="AI51" t="s">
        <v>309</v>
      </c>
      <c r="AJ51" t="s">
        <v>310</v>
      </c>
      <c r="AK51" t="s">
        <v>311</v>
      </c>
      <c r="AL51" t="s">
        <v>312</v>
      </c>
      <c r="AM51" t="s">
        <v>313</v>
      </c>
      <c r="AN51" t="s">
        <v>314</v>
      </c>
      <c r="AO51" t="s">
        <v>315</v>
      </c>
      <c r="AP51" t="s">
        <v>316</v>
      </c>
      <c r="AQ51" t="s">
        <v>316</v>
      </c>
    </row>
    <row r="52" spans="1:43" ht="15.75">
      <c r="A52" s="5"/>
      <c r="K52" s="21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8"/>
    </row>
    <row r="53" spans="1:43" ht="15.75" customHeight="1">
      <c r="A53" s="5"/>
      <c r="B53" s="21" t="str">
        <f>VLOOKUP(AG8,AG2:AR96,$AE$1+1,FALSE)</f>
        <v>ACHTUNG:</v>
      </c>
      <c r="C53" s="21"/>
      <c r="D53" s="21"/>
      <c r="E53" s="21"/>
      <c r="F53" s="21"/>
      <c r="G53" s="21"/>
      <c r="H53" s="21"/>
      <c r="I53" s="21"/>
      <c r="J53" s="21"/>
      <c r="K53" s="21"/>
      <c r="R53" t="str">
        <f>VLOOKUP(AG26,AG2:AR96,$AE$1+1,FALSE)</f>
        <v>Bauseits:</v>
      </c>
      <c r="AB53" s="5"/>
    </row>
    <row r="54" spans="1:43" ht="15.75" customHeight="1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21"/>
      <c r="R54" s="169" t="str">
        <f>VLOOKUP(AG27,AG2:AR96,$AE$1+1,FALSE)</f>
        <v>Ein stählerner Montagerahmen zur Befestigung der vertikalen Laufschienen und des Federpakets bei nicht tragfähigen Flächen wie z.B. Porenbeton, Gasbeton, Isolationspanelen u.s.w..</v>
      </c>
      <c r="S54" s="169"/>
      <c r="T54" s="169"/>
      <c r="U54" s="169"/>
      <c r="V54" s="169"/>
      <c r="W54" s="169"/>
      <c r="X54" s="169"/>
      <c r="Y54" s="169"/>
      <c r="Z54" s="169"/>
      <c r="AA54" s="169"/>
      <c r="AB54" s="170"/>
    </row>
    <row r="55" spans="1:43" ht="15.75" customHeight="1">
      <c r="A55" s="5"/>
      <c r="B55" s="62" t="str">
        <f>VLOOKUP(AG55,AG2:AR96,$AE$1+1,FALSE)</f>
        <v>Fläche, an die montiert wird, muss gerade und fest sein und alle Montageflächen müssen in einer Ebene sein.</v>
      </c>
      <c r="C55" s="63"/>
      <c r="D55" s="63"/>
      <c r="E55" s="63"/>
      <c r="F55" s="63"/>
      <c r="G55" s="63"/>
      <c r="H55" s="63"/>
      <c r="I55" s="63"/>
      <c r="J55" s="63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70"/>
      <c r="AG55" t="str">
        <f t="shared" si="0"/>
        <v>Fläche, an die montiert wird, muss gerade und fest sein und alle Montageflächen müssen in einer Ebene sein.</v>
      </c>
      <c r="AH55" t="s">
        <v>317</v>
      </c>
      <c r="AI55" t="s">
        <v>318</v>
      </c>
      <c r="AJ55" t="s">
        <v>319</v>
      </c>
      <c r="AK55" t="s">
        <v>320</v>
      </c>
      <c r="AL55" t="s">
        <v>321</v>
      </c>
      <c r="AM55" s="11" t="s">
        <v>322</v>
      </c>
      <c r="AN55" t="s">
        <v>323</v>
      </c>
      <c r="AO55" t="s">
        <v>324</v>
      </c>
      <c r="AP55" t="s">
        <v>325</v>
      </c>
    </row>
    <row r="56" spans="1:43" ht="15.75">
      <c r="A56" s="5"/>
      <c r="B56" s="64" t="str">
        <f>VLOOKUP(AG56,AG2:AR96,$AE$1+1,FALSE)</f>
        <v>Im übrigen müssen die lichten Masse eben und rechtwinklig sein.</v>
      </c>
      <c r="C56" s="21"/>
      <c r="D56" s="21"/>
      <c r="E56" s="21"/>
      <c r="F56" s="21"/>
      <c r="G56" s="21"/>
      <c r="H56" s="21"/>
      <c r="I56" s="21"/>
      <c r="J56" s="21"/>
      <c r="AB56" s="5"/>
      <c r="AG56" t="str">
        <f t="shared" si="0"/>
        <v>Im übrigen müssen die lichten Masse eben und rechtwinklig sein.</v>
      </c>
      <c r="AH56" t="s">
        <v>326</v>
      </c>
      <c r="AI56" t="s">
        <v>327</v>
      </c>
      <c r="AJ56" t="s">
        <v>328</v>
      </c>
      <c r="AK56" t="s">
        <v>329</v>
      </c>
      <c r="AL56" t="s">
        <v>330</v>
      </c>
      <c r="AM56" s="11" t="s">
        <v>331</v>
      </c>
      <c r="AN56" t="s">
        <v>332</v>
      </c>
      <c r="AO56" t="s">
        <v>333</v>
      </c>
      <c r="AP56" t="s">
        <v>334</v>
      </c>
    </row>
    <row r="57" spans="1:43" ht="15.75">
      <c r="A57" s="5"/>
      <c r="B57" s="21" t="str">
        <f>VLOOKUP(AG57,AG2:AR96,$AE$1+1,FALSE)</f>
        <v>Der Fussboden muss glatt und waagerecht sein.</v>
      </c>
      <c r="C57" s="21"/>
      <c r="D57" s="21"/>
      <c r="E57" s="21"/>
      <c r="F57" s="21"/>
      <c r="G57" s="21"/>
      <c r="H57" s="21"/>
      <c r="I57" s="21"/>
      <c r="J57" s="21"/>
      <c r="AB57" s="5"/>
      <c r="AG57" t="str">
        <f t="shared" si="0"/>
        <v>Der Fussboden muss glatt und waagerecht sein.</v>
      </c>
      <c r="AH57" t="s">
        <v>335</v>
      </c>
      <c r="AI57" t="s">
        <v>336</v>
      </c>
      <c r="AJ57" t="s">
        <v>337</v>
      </c>
      <c r="AK57" t="s">
        <v>338</v>
      </c>
      <c r="AL57" t="s">
        <v>339</v>
      </c>
      <c r="AM57" s="11" t="s">
        <v>340</v>
      </c>
      <c r="AN57" t="s">
        <v>341</v>
      </c>
      <c r="AO57" t="s">
        <v>342</v>
      </c>
      <c r="AP57" t="s">
        <v>343</v>
      </c>
    </row>
    <row r="58" spans="1:43" ht="15.75" thickBot="1">
      <c r="A58" s="5"/>
      <c r="B58" t="str">
        <f>AG124</f>
        <v>Wenn 1 1/4 "Welle und Wellenachse H + 180 mm</v>
      </c>
      <c r="D58" s="1"/>
      <c r="E58" s="1"/>
      <c r="F58" s="1"/>
      <c r="G58" s="1"/>
      <c r="H58" s="1"/>
      <c r="I58" s="1"/>
      <c r="J58" s="1"/>
      <c r="K58" s="1"/>
      <c r="L58" s="1"/>
      <c r="R58" t="str">
        <f>VLOOKUP(AG29,AG2:AR96,$AE$1+1,FALSE)</f>
        <v>Benötigte Montageflächen und Freiräume gemäß Zeichnung.</v>
      </c>
      <c r="AB58" s="5"/>
    </row>
    <row r="59" spans="1:43" ht="15.75" thickBot="1">
      <c r="A59" s="5"/>
      <c r="B59" s="65" t="str">
        <f>VLOOKUP(AG60,AG2:AR96,$AE$1+1,FALSE)</f>
        <v>MASSE in mm</v>
      </c>
      <c r="C59" s="66"/>
      <c r="D59" s="1"/>
      <c r="E59" s="1"/>
      <c r="F59" s="67"/>
      <c r="G59" s="68" t="str">
        <f>IF(K7="",AG76,AG101&amp;":" &amp; "  " &amp;K7)</f>
        <v>Elektrisch- oder Haspelkettenbedient</v>
      </c>
      <c r="H59" s="69"/>
      <c r="I59" s="69"/>
      <c r="J59" s="69"/>
      <c r="K59" s="68"/>
      <c r="L59" s="70"/>
      <c r="M59" s="68" t="str">
        <f>VLOOKUP(AG81,AG6:AR99,$AE$1+1,FALSE)</f>
        <v>Freiraum über Sturz</v>
      </c>
      <c r="N59" s="68"/>
      <c r="O59" s="68"/>
      <c r="P59" s="70"/>
      <c r="R59" t="str">
        <f>VLOOKUP(AG30,AG2:AR96,$AE$1+1,FALSE)</f>
        <v>Elektrisch (bei elektrisch bedienten Toren):</v>
      </c>
      <c r="AB59" s="5"/>
    </row>
    <row r="60" spans="1:43" ht="15.75" thickBot="1">
      <c r="A60" s="5"/>
      <c r="B60" s="71" t="s">
        <v>344</v>
      </c>
      <c r="C60" s="1" t="str">
        <f>VLOOKUP(AG61,AG2:AR96,$AE$1+1,FALSE)</f>
        <v>Lichte Breite</v>
      </c>
      <c r="D60" s="66"/>
      <c r="E60" s="1"/>
      <c r="F60" s="72" t="str">
        <f>IF(K7="","W ","W = " &amp;K3)</f>
        <v xml:space="preserve">W </v>
      </c>
      <c r="G60" s="71" t="str">
        <f>IF(K11="","L/R","L")</f>
        <v>L/R</v>
      </c>
      <c r="H60" s="66" t="str">
        <f>IF(K7="",AG132,VLOOKUP(AG67,AG8:AR101,$AE$1+1,FALSE))</f>
        <v xml:space="preserve">Antriebseite </v>
      </c>
      <c r="I60" s="66"/>
      <c r="K60" s="66"/>
      <c r="L60" s="73" t="str">
        <f>IF(OR(K7=""),"min. 375",F64)</f>
        <v>min. 375</v>
      </c>
      <c r="M60" s="74" t="s">
        <v>345</v>
      </c>
      <c r="N60" s="75" t="s">
        <v>346</v>
      </c>
      <c r="O60" s="66"/>
      <c r="P60" s="76" t="str">
        <f>IF(OR(K5=0,K5=""),"",K5+400)</f>
        <v/>
      </c>
      <c r="R60" t="str">
        <f>AG51</f>
        <v>Die Parameter der Steckdosen sind in der Produktdokumentation zu finden.</v>
      </c>
      <c r="AA60" s="1"/>
      <c r="AB60" s="67"/>
      <c r="AG60" t="str">
        <f t="shared" si="0"/>
        <v>MASSE in mm</v>
      </c>
      <c r="AH60" t="s">
        <v>347</v>
      </c>
      <c r="AI60" t="s">
        <v>348</v>
      </c>
      <c r="AJ60" t="s">
        <v>349</v>
      </c>
      <c r="AK60" t="s">
        <v>350</v>
      </c>
      <c r="AL60" t="s">
        <v>351</v>
      </c>
      <c r="AM60" s="77" t="s">
        <v>352</v>
      </c>
      <c r="AN60" t="s">
        <v>353</v>
      </c>
      <c r="AO60" t="s">
        <v>354</v>
      </c>
      <c r="AP60" t="s">
        <v>355</v>
      </c>
    </row>
    <row r="61" spans="1:43" ht="15.75" thickBot="1">
      <c r="B61" s="71" t="s">
        <v>356</v>
      </c>
      <c r="C61" s="1" t="str">
        <f>VLOOKUP(AG62,AG3:AR96,$AE$1+1,FALSE)</f>
        <v>Lichte Höhe</v>
      </c>
      <c r="D61" s="66"/>
      <c r="E61" s="66"/>
      <c r="F61" s="72" t="str">
        <f>IF(K9="","H ","H = " &amp;K5)</f>
        <v xml:space="preserve">H </v>
      </c>
      <c r="G61" s="71" t="str">
        <f>IF(K11="","L/R","R")</f>
        <v>L/R</v>
      </c>
      <c r="H61" s="66" t="str">
        <f>IF(K7="",AG133,VLOOKUP(AG68,AG8:AR101,$AE$1+1,FALSE))</f>
        <v xml:space="preserve">Andere Seite </v>
      </c>
      <c r="I61" s="66"/>
      <c r="J61" s="66"/>
      <c r="K61" s="66"/>
      <c r="L61" s="78" t="str">
        <f>IF(OR(K7=""),"min. 125",F65)</f>
        <v>min. 125</v>
      </c>
      <c r="M61" s="79" t="str">
        <f>VLOOKUP(AG82,AG6:AR99,$AE$1+1,FALSE)</f>
        <v>Mitte Achse zum Sturz</v>
      </c>
      <c r="N61" s="68"/>
      <c r="O61" s="80"/>
      <c r="P61" s="81"/>
      <c r="R61" s="147" t="str">
        <f>VLOOKUP(AG85,AG2:AR96,$AE$1+1,FALSE)</f>
        <v>Aufgestellt:</v>
      </c>
      <c r="S61" s="148"/>
      <c r="T61" s="147" t="str">
        <f>VLOOKUP(AG86,AG2:AR96,$AE$1+1,FALSE)</f>
        <v>Bereinigt:</v>
      </c>
      <c r="U61" s="148"/>
      <c r="V61" s="147" t="str">
        <f>VLOOKUP(AG87,AG2:AR96,$AE$1+1,FALSE)</f>
        <v>Bereinigt am:</v>
      </c>
      <c r="W61" s="148"/>
      <c r="X61" s="147" t="str">
        <f>VLOOKUP(AG88,AG2:AR96,$AE$1+1,FALSE)</f>
        <v>Dateiname:</v>
      </c>
      <c r="Y61" s="148"/>
      <c r="Z61" s="82" t="str">
        <f>VLOOKUP(AG89,AG2:AR96,$AE$1+1,FALSE)</f>
        <v>Datum:</v>
      </c>
      <c r="AA61" s="71" t="str">
        <f>VLOOKUP(AG90,AG2:AR96,$AE$1+1,FALSE)</f>
        <v>Massst.:</v>
      </c>
      <c r="AB61" s="22" t="str">
        <f>VLOOKUP(AG91,AG2:AR96,$AE$1+1,FALSE)</f>
        <v>Format:</v>
      </c>
      <c r="AG61" t="str">
        <f t="shared" si="0"/>
        <v>Lichte Breite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s="77" t="s">
        <v>29</v>
      </c>
      <c r="AN61" t="s">
        <v>30</v>
      </c>
      <c r="AO61" t="s">
        <v>31</v>
      </c>
      <c r="AP61" t="s">
        <v>357</v>
      </c>
    </row>
    <row r="62" spans="1:43" ht="15.75" thickBot="1">
      <c r="B62" s="71" t="s">
        <v>358</v>
      </c>
      <c r="C62" s="1" t="str">
        <f>VLOOKUP(AG65,AG5:AR98,$AE$1+1,FALSE)</f>
        <v>Freiraum über Sturz</v>
      </c>
      <c r="D62" s="66"/>
      <c r="E62" s="66"/>
      <c r="F62" s="72" t="str">
        <f>IF(K9="","F ","F = " &amp;P60)</f>
        <v xml:space="preserve">F </v>
      </c>
      <c r="G62" s="83" t="str">
        <f>AG69</f>
        <v>Einbautiefe</v>
      </c>
      <c r="H62" s="68"/>
      <c r="I62" s="68"/>
      <c r="J62" s="68"/>
      <c r="K62" s="68"/>
      <c r="L62" s="70"/>
      <c r="M62" s="71" t="s">
        <v>359</v>
      </c>
      <c r="N62" s="84"/>
      <c r="O62" s="84"/>
      <c r="P62" s="85" t="str">
        <f>IF(K5="","",IF(K5&lt;=3300,K5+130,IF(AND(K5&gt;3300,K5&lt;=5950),K5+150,K5+180)))</f>
        <v/>
      </c>
      <c r="R62" s="147" t="s">
        <v>360</v>
      </c>
      <c r="S62" s="148"/>
      <c r="T62" s="147" t="s">
        <v>361</v>
      </c>
      <c r="U62" s="148"/>
      <c r="V62" s="151">
        <v>45230</v>
      </c>
      <c r="W62" s="148"/>
      <c r="X62" s="147" t="s">
        <v>362</v>
      </c>
      <c r="Y62" s="148"/>
      <c r="Z62" s="86">
        <v>45230</v>
      </c>
      <c r="AA62" s="87" t="s">
        <v>363</v>
      </c>
      <c r="AB62" s="88" t="s">
        <v>364</v>
      </c>
      <c r="AG62" t="str">
        <f t="shared" si="0"/>
        <v>Lichte Höhe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s="77" t="s">
        <v>39</v>
      </c>
      <c r="AN62" t="s">
        <v>40</v>
      </c>
      <c r="AO62" t="s">
        <v>41</v>
      </c>
      <c r="AP62" t="s">
        <v>365</v>
      </c>
    </row>
    <row r="63" spans="1:43" ht="15.75" customHeight="1" thickBot="1">
      <c r="A63" s="5"/>
      <c r="B63" s="71" t="s">
        <v>366</v>
      </c>
      <c r="C63" s="1" t="str">
        <f>VLOOKUP(AG82,AG6:AR99,$AE$1+1,FALSE)</f>
        <v>Mitte Achse zum Sturz</v>
      </c>
      <c r="D63" s="66"/>
      <c r="E63" s="66"/>
      <c r="F63" s="72" t="str">
        <f>IF(K9="","A","A = " &amp;P62)</f>
        <v>A</v>
      </c>
      <c r="G63" s="89" t="s">
        <v>367</v>
      </c>
      <c r="I63" s="66"/>
      <c r="J63" s="66"/>
      <c r="K63" s="90"/>
      <c r="L63" s="91" t="str">
        <f>IF(K5="","",IF(AND(K5&lt;=3300,K9=AG121),450,IF(AND(K5&lt;=3300,K9=AG122),490,IF(AND(K5&gt;3300,K5&lt;=5500,K9=AG121),500,IF(AND(K5&gt;3300,K5&lt;=5500,K9=AG122),540,IF(AND(K9=AG121,K5&gt;=5500),550,550))))))</f>
        <v/>
      </c>
      <c r="M63" s="92" t="str">
        <f>IF(K5="","H&lt;=3300",IF(K5&lt;=3300,"H&lt;=3300",""))</f>
        <v>H&lt;=3300</v>
      </c>
      <c r="N63" s="93"/>
      <c r="O63" s="94"/>
      <c r="P63" s="95" t="str">
        <f>IF(K5="","H+130",IF(K5&lt;=3300,"H+130",""))</f>
        <v>H+130</v>
      </c>
      <c r="R63" s="152" t="s">
        <v>368</v>
      </c>
      <c r="S63" s="153"/>
      <c r="T63" s="153"/>
      <c r="U63" s="154"/>
      <c r="V63" s="158" t="str">
        <f>VLOOKUP(AG94,AG2:AR96,$AE$1+1,FALSE)</f>
        <v>BAUBEREITSCHAFT VERTIKALER BESCHLAG (VL)</v>
      </c>
      <c r="W63" s="159"/>
      <c r="X63" s="159"/>
      <c r="Y63" s="159"/>
      <c r="Z63" s="159"/>
      <c r="AA63" s="159"/>
      <c r="AB63" s="160"/>
      <c r="AG63" t="str">
        <f t="shared" si="0"/>
        <v>Höhe der Führung</v>
      </c>
      <c r="AH63" t="s">
        <v>369</v>
      </c>
      <c r="AI63" t="s">
        <v>369</v>
      </c>
      <c r="AJ63" t="s">
        <v>370</v>
      </c>
      <c r="AK63" t="s">
        <v>371</v>
      </c>
      <c r="AL63" t="s">
        <v>372</v>
      </c>
      <c r="AM63" s="77" t="s">
        <v>369</v>
      </c>
      <c r="AN63" t="s">
        <v>373</v>
      </c>
      <c r="AO63" t="s">
        <v>374</v>
      </c>
      <c r="AP63" t="s">
        <v>375</v>
      </c>
    </row>
    <row r="64" spans="1:43" ht="15.75" customHeight="1" thickBot="1">
      <c r="A64" s="5"/>
      <c r="B64" s="71" t="s">
        <v>376</v>
      </c>
      <c r="C64" s="1" t="str">
        <f>VLOOKUP(AG67,AG7:AR100,$AE$1+1,FALSE)</f>
        <v>Freiraum LINKS</v>
      </c>
      <c r="F64" s="72" t="str">
        <f>IF(OR(K7="",K11=""),"L",IF(AND($K$11=$AG$128,K7&lt;&gt;"",K11&lt;&gt;""),"L = " &amp; Obrázky!$Y$17+25,"L = " &amp;Obrázky!$Y$17))</f>
        <v>L</v>
      </c>
      <c r="G64" s="96"/>
      <c r="H64" s="97" t="str">
        <f>IF(K5="","H&lt;=3300",IF(K5&lt;=3300,"H&lt;=3300",""))</f>
        <v>H&lt;=3300</v>
      </c>
      <c r="I64" s="90" t="str">
        <f>IF(K5="","=&gt;450",IF(K5&lt;=3300,450,""))</f>
        <v>=&gt;450</v>
      </c>
      <c r="M64" s="98" t="str">
        <f>IF(K5="","3300&lt;H=&lt;5500",IF(AND(K5&gt;3300,K5&lt;=4500),"3300&lt;H=&lt;5500",""))</f>
        <v>3300&lt;H=&lt;5500</v>
      </c>
      <c r="N64" s="99"/>
      <c r="O64" s="100"/>
      <c r="P64" s="101" t="str">
        <f>IF(K5="","H+150",IF(AND(K5&gt;3300,K5&lt;=4500),"H+150",""))</f>
        <v>H+150</v>
      </c>
      <c r="R64" s="155"/>
      <c r="S64" s="156"/>
      <c r="T64" s="156"/>
      <c r="U64" s="157"/>
      <c r="V64" s="161"/>
      <c r="W64" s="162"/>
      <c r="X64" s="162"/>
      <c r="Y64" s="162"/>
      <c r="Z64" s="162"/>
      <c r="AA64" s="162"/>
      <c r="AB64" s="163"/>
      <c r="AG64" t="str">
        <f t="shared" si="0"/>
        <v>Höhe Innenraum</v>
      </c>
      <c r="AH64" t="s">
        <v>377</v>
      </c>
      <c r="AI64" t="s">
        <v>378</v>
      </c>
      <c r="AJ64" t="s">
        <v>379</v>
      </c>
      <c r="AK64" t="s">
        <v>380</v>
      </c>
      <c r="AL64" t="s">
        <v>381</v>
      </c>
      <c r="AM64" s="77" t="s">
        <v>382</v>
      </c>
      <c r="AN64" t="s">
        <v>383</v>
      </c>
      <c r="AO64" t="s">
        <v>384</v>
      </c>
      <c r="AP64" t="s">
        <v>385</v>
      </c>
    </row>
    <row r="65" spans="1:44" ht="15.75" customHeight="1" thickBot="1">
      <c r="A65" s="5"/>
      <c r="B65" s="71" t="s">
        <v>386</v>
      </c>
      <c r="C65" s="1" t="str">
        <f>VLOOKUP(AG68,AG8:AR101,$AE$1+1,FALSE)</f>
        <v>Freiraum RECHTS</v>
      </c>
      <c r="D65" s="66"/>
      <c r="E65" s="66"/>
      <c r="F65" s="72" t="str">
        <f>IF(OR(K7="",K11=""),"R",IF(AND($K$11=$AG$128,K7&lt;&gt;"",K11&lt;&gt;""),"R = "&amp;Obrázky!Y16+25,"R= "&amp;Obrázky!Y16))</f>
        <v>R</v>
      </c>
      <c r="G65" s="102"/>
      <c r="H65" s="103" t="str">
        <f>IF(K5="","3300&lt;H=&lt;5500",IF(AND(K5&gt;3300,K5&lt;=4500),"3300&lt;H=&lt;5500",""))</f>
        <v>3300&lt;H=&lt;5500</v>
      </c>
      <c r="I65" s="90" t="str">
        <f>IF(K5="","=&gt;500",IF(AND(K5&gt;3300,K5&lt;=4500),"=&gt;500",""))</f>
        <v>=&gt;500</v>
      </c>
      <c r="J65" s="66"/>
      <c r="K65" s="90"/>
      <c r="L65" s="72"/>
      <c r="M65" s="104" t="str">
        <f>IF(K5="","H&gt;5500",IF(K5&gt;5500,"H&gt;5500",""))</f>
        <v>H&gt;5500</v>
      </c>
      <c r="N65" s="105"/>
      <c r="O65" s="94"/>
      <c r="P65" s="95" t="str">
        <f>IF(K5="","H+180",IF(K5&gt;5500,"H+180",""))</f>
        <v>H+180</v>
      </c>
      <c r="R65" s="24"/>
      <c r="V65" s="161"/>
      <c r="W65" s="162"/>
      <c r="X65" s="162"/>
      <c r="Y65" s="162"/>
      <c r="Z65" s="162"/>
      <c r="AA65" s="162"/>
      <c r="AB65" s="163"/>
      <c r="AG65" t="str">
        <f t="shared" si="0"/>
        <v>Freiraum über Sturz</v>
      </c>
      <c r="AH65" t="s">
        <v>387</v>
      </c>
      <c r="AI65" t="s">
        <v>388</v>
      </c>
      <c r="AJ65" t="s">
        <v>389</v>
      </c>
      <c r="AK65" t="s">
        <v>390</v>
      </c>
      <c r="AL65" t="s">
        <v>391</v>
      </c>
      <c r="AM65" s="77" t="s">
        <v>392</v>
      </c>
      <c r="AN65" t="s">
        <v>393</v>
      </c>
      <c r="AO65" t="s">
        <v>394</v>
      </c>
      <c r="AP65" t="s">
        <v>395</v>
      </c>
    </row>
    <row r="66" spans="1:44" ht="15.75" customHeight="1" thickBot="1">
      <c r="A66" s="5"/>
      <c r="B66" s="22" t="s">
        <v>396</v>
      </c>
      <c r="C66" s="1" t="str">
        <f>VLOOKUP(AG69,AG9:AR102,$AE$1+1,FALSE)</f>
        <v>Einbautiefe</v>
      </c>
      <c r="D66" s="66"/>
      <c r="E66" s="66"/>
      <c r="F66" s="72" t="str">
        <f>IF(OR($K$3=0,$K$5=0,$K$7=""),"D","D = "&amp;$L$63)</f>
        <v>D</v>
      </c>
      <c r="G66" s="71"/>
      <c r="H66" s="93" t="str">
        <f>IF(K5="","H&gt;5500",IF(K5&gt;5500,"H&gt;5500",""))</f>
        <v>H&gt;5500</v>
      </c>
      <c r="I66" s="90" t="str">
        <f>IF(K5="","=&gt; 550",IF(K5&gt;5500,"=&gt; 550",""))</f>
        <v>=&gt; 550</v>
      </c>
      <c r="J66" s="66"/>
      <c r="K66" s="90"/>
      <c r="L66" s="72"/>
      <c r="M66" s="79"/>
      <c r="N66" s="68"/>
      <c r="O66" s="68"/>
      <c r="P66" s="106"/>
      <c r="R66" s="24"/>
      <c r="V66" s="161"/>
      <c r="W66" s="162"/>
      <c r="X66" s="162"/>
      <c r="Y66" s="162"/>
      <c r="Z66" s="162"/>
      <c r="AA66" s="162"/>
      <c r="AB66" s="163"/>
      <c r="AG66" t="str">
        <f t="shared" si="0"/>
        <v>Höhe über Montagefläche Loch</v>
      </c>
      <c r="AH66" t="s">
        <v>397</v>
      </c>
      <c r="AI66" t="s">
        <v>398</v>
      </c>
      <c r="AJ66" t="s">
        <v>399</v>
      </c>
      <c r="AK66" t="s">
        <v>400</v>
      </c>
      <c r="AL66" t="s">
        <v>401</v>
      </c>
      <c r="AM66" s="77" t="s">
        <v>402</v>
      </c>
      <c r="AN66" t="s">
        <v>403</v>
      </c>
      <c r="AO66" t="s">
        <v>404</v>
      </c>
      <c r="AP66" t="s">
        <v>405</v>
      </c>
    </row>
    <row r="67" spans="1:44" ht="15.75" customHeight="1" thickBot="1">
      <c r="A67" s="5"/>
      <c r="B67" s="22"/>
      <c r="C67" s="66"/>
      <c r="D67" s="66"/>
      <c r="E67" s="66"/>
      <c r="F67" s="72"/>
      <c r="G67" s="65"/>
      <c r="H67" s="66"/>
      <c r="I67" s="66"/>
      <c r="J67" s="66"/>
      <c r="K67" s="66"/>
      <c r="L67" s="72"/>
      <c r="M67" s="107"/>
      <c r="N67" s="66"/>
      <c r="O67" s="66"/>
      <c r="P67" s="72"/>
      <c r="R67" s="24"/>
      <c r="V67" s="164"/>
      <c r="W67" s="165"/>
      <c r="X67" s="165"/>
      <c r="Y67" s="165"/>
      <c r="Z67" s="165"/>
      <c r="AA67" s="165"/>
      <c r="AB67" s="166"/>
      <c r="AG67" t="str">
        <f t="shared" ref="AG67:AG117" si="1">VLOOKUP(AH67,AH67:AR161,$AE$1,FALSE)</f>
        <v>Freiraum LINKS</v>
      </c>
      <c r="AH67" t="s">
        <v>406</v>
      </c>
      <c r="AI67" t="s">
        <v>407</v>
      </c>
      <c r="AJ67" t="s">
        <v>408</v>
      </c>
      <c r="AK67" t="s">
        <v>409</v>
      </c>
      <c r="AL67" t="s">
        <v>410</v>
      </c>
      <c r="AM67" s="77" t="s">
        <v>411</v>
      </c>
      <c r="AN67" t="s">
        <v>412</v>
      </c>
      <c r="AO67" t="s">
        <v>413</v>
      </c>
      <c r="AP67" t="s">
        <v>414</v>
      </c>
    </row>
    <row r="68" spans="1:44" ht="15.75" thickBot="1">
      <c r="A68" s="5"/>
      <c r="B68" s="108"/>
      <c r="E68" s="66"/>
      <c r="F68" s="72"/>
      <c r="G68" s="109"/>
      <c r="H68" s="1"/>
      <c r="I68" s="1"/>
      <c r="J68" s="1"/>
      <c r="K68" s="1"/>
      <c r="L68" s="67"/>
      <c r="M68" s="107"/>
      <c r="N68" s="66"/>
      <c r="O68" s="66"/>
      <c r="P68" s="72"/>
      <c r="R68" s="24"/>
      <c r="V68" s="141" t="str">
        <f>AG12</f>
        <v>VERTIKALER BESCHLAG (VL)</v>
      </c>
      <c r="W68" s="142"/>
      <c r="X68" s="142"/>
      <c r="Y68" s="143"/>
      <c r="Z68" s="71" t="str">
        <f>VLOOKUP(AG95,AG2:AR96,$AE$1+1,FALSE)</f>
        <v>Kode:</v>
      </c>
      <c r="AA68" s="147" t="str">
        <f>VLOOKUP(AG96,AG2:AR96,$AE$1+1,FALSE)</f>
        <v>Version:</v>
      </c>
      <c r="AB68" s="148"/>
      <c r="AG68" t="str">
        <f t="shared" si="1"/>
        <v>Freiraum RECHTS</v>
      </c>
      <c r="AH68" t="s">
        <v>415</v>
      </c>
      <c r="AI68" t="s">
        <v>416</v>
      </c>
      <c r="AJ68" t="s">
        <v>417</v>
      </c>
      <c r="AK68" t="s">
        <v>418</v>
      </c>
      <c r="AL68" t="s">
        <v>419</v>
      </c>
      <c r="AM68" s="77" t="s">
        <v>420</v>
      </c>
      <c r="AN68" t="s">
        <v>421</v>
      </c>
      <c r="AO68" t="s">
        <v>422</v>
      </c>
      <c r="AP68" t="s">
        <v>423</v>
      </c>
    </row>
    <row r="69" spans="1:44" ht="15.75" thickBot="1">
      <c r="B69" s="108"/>
      <c r="C69" s="66"/>
      <c r="D69" s="66"/>
      <c r="E69" s="66"/>
      <c r="F69" s="72"/>
      <c r="G69" s="109"/>
      <c r="H69" s="1"/>
      <c r="I69" s="1"/>
      <c r="J69" s="1"/>
      <c r="K69" s="1"/>
      <c r="L69" s="67"/>
      <c r="M69" s="107"/>
      <c r="N69" s="1"/>
      <c r="O69" s="1"/>
      <c r="P69" s="110"/>
      <c r="Q69" s="1"/>
      <c r="R69" s="109"/>
      <c r="S69" s="1"/>
      <c r="T69" s="1"/>
      <c r="U69" s="1"/>
      <c r="V69" s="144"/>
      <c r="W69" s="145"/>
      <c r="X69" s="145"/>
      <c r="Y69" s="146"/>
      <c r="Z69" s="111">
        <v>30</v>
      </c>
      <c r="AA69" s="149">
        <v>2344</v>
      </c>
      <c r="AB69" s="150"/>
      <c r="AG69" t="str">
        <f t="shared" si="1"/>
        <v>Einbautiefe</v>
      </c>
      <c r="AH69" t="s">
        <v>424</v>
      </c>
      <c r="AI69" t="s">
        <v>425</v>
      </c>
      <c r="AJ69" t="s">
        <v>426</v>
      </c>
      <c r="AK69" t="s">
        <v>427</v>
      </c>
      <c r="AL69" t="s">
        <v>428</v>
      </c>
      <c r="AM69" s="77" t="s">
        <v>429</v>
      </c>
      <c r="AN69" t="s">
        <v>430</v>
      </c>
      <c r="AO69" t="s">
        <v>431</v>
      </c>
      <c r="AP69" t="s">
        <v>432</v>
      </c>
    </row>
    <row r="70" spans="1:44">
      <c r="V70" s="4"/>
      <c r="W70" s="4"/>
      <c r="X70" s="4"/>
      <c r="Y70" s="4"/>
      <c r="AG70" t="str">
        <f t="shared" si="1"/>
        <v>1. Aufhängepunkt</v>
      </c>
      <c r="AH70" t="s">
        <v>433</v>
      </c>
      <c r="AI70" t="s">
        <v>434</v>
      </c>
      <c r="AJ70" t="s">
        <v>435</v>
      </c>
      <c r="AK70" t="s">
        <v>436</v>
      </c>
      <c r="AL70" t="s">
        <v>437</v>
      </c>
      <c r="AM70" s="77" t="s">
        <v>438</v>
      </c>
      <c r="AN70" t="s">
        <v>439</v>
      </c>
      <c r="AO70" t="s">
        <v>440</v>
      </c>
      <c r="AP70" t="s">
        <v>441</v>
      </c>
    </row>
    <row r="71" spans="1:44">
      <c r="V71" s="4"/>
      <c r="W71" s="4"/>
      <c r="X71" s="4"/>
      <c r="Y71" s="4"/>
      <c r="AG71" t="str">
        <f t="shared" si="1"/>
        <v>2. Aufhängepunkt</v>
      </c>
      <c r="AH71" t="s">
        <v>442</v>
      </c>
      <c r="AI71" t="s">
        <v>443</v>
      </c>
      <c r="AJ71" t="s">
        <v>444</v>
      </c>
      <c r="AK71" t="s">
        <v>445</v>
      </c>
      <c r="AL71" t="s">
        <v>446</v>
      </c>
      <c r="AM71" s="77" t="s">
        <v>447</v>
      </c>
      <c r="AN71" t="s">
        <v>448</v>
      </c>
      <c r="AO71" t="s">
        <v>449</v>
      </c>
      <c r="AP71" t="s">
        <v>450</v>
      </c>
    </row>
    <row r="72" spans="1:44">
      <c r="V72" s="4"/>
      <c r="W72" s="4"/>
      <c r="X72" s="4"/>
      <c r="Y72" s="4"/>
      <c r="AG72" t="str">
        <f t="shared" si="1"/>
        <v>3. Aufhängepunkt</v>
      </c>
      <c r="AH72" t="s">
        <v>451</v>
      </c>
      <c r="AI72" t="s">
        <v>452</v>
      </c>
      <c r="AJ72" t="s">
        <v>453</v>
      </c>
      <c r="AK72" t="s">
        <v>454</v>
      </c>
      <c r="AL72" t="s">
        <v>455</v>
      </c>
      <c r="AM72" s="77" t="s">
        <v>456</v>
      </c>
      <c r="AN72" t="s">
        <v>457</v>
      </c>
      <c r="AO72" t="s">
        <v>458</v>
      </c>
      <c r="AP72" t="s">
        <v>459</v>
      </c>
    </row>
    <row r="73" spans="1:44">
      <c r="AG73" t="str">
        <f t="shared" si="1"/>
        <v>Freiplatz auf der Mountageplatz</v>
      </c>
      <c r="AH73" s="10" t="s">
        <v>387</v>
      </c>
      <c r="AI73" t="s">
        <v>460</v>
      </c>
      <c r="AJ73" s="10" t="s">
        <v>461</v>
      </c>
      <c r="AK73" s="10" t="s">
        <v>462</v>
      </c>
      <c r="AL73" s="10" t="s">
        <v>463</v>
      </c>
      <c r="AM73" s="77" t="s">
        <v>464</v>
      </c>
      <c r="AN73" s="10" t="s">
        <v>465</v>
      </c>
      <c r="AO73" s="10" t="s">
        <v>466</v>
      </c>
      <c r="AP73" s="10" t="s">
        <v>467</v>
      </c>
      <c r="AQ73" s="10"/>
      <c r="AR73" s="10"/>
    </row>
    <row r="74" spans="1:44">
      <c r="G74" s="4"/>
      <c r="AG74" t="str">
        <f t="shared" si="1"/>
        <v>Handbedienung</v>
      </c>
      <c r="AH74" t="s">
        <v>468</v>
      </c>
      <c r="AI74" t="s">
        <v>469</v>
      </c>
      <c r="AJ74" t="s">
        <v>470</v>
      </c>
      <c r="AK74" t="s">
        <v>471</v>
      </c>
      <c r="AL74" t="s">
        <v>472</v>
      </c>
      <c r="AM74" s="77" t="s">
        <v>473</v>
      </c>
      <c r="AN74" t="s">
        <v>474</v>
      </c>
      <c r="AO74" t="s">
        <v>475</v>
      </c>
      <c r="AP74" t="s">
        <v>476</v>
      </c>
    </row>
    <row r="75" spans="1:44">
      <c r="AG75" t="str">
        <f t="shared" si="1"/>
        <v>Beide Seiten</v>
      </c>
      <c r="AH75" t="s">
        <v>477</v>
      </c>
      <c r="AI75" t="s">
        <v>478</v>
      </c>
      <c r="AJ75" t="s">
        <v>479</v>
      </c>
      <c r="AK75" t="s">
        <v>480</v>
      </c>
      <c r="AL75" t="s">
        <v>481</v>
      </c>
      <c r="AM75" s="77" t="s">
        <v>482</v>
      </c>
      <c r="AN75" t="s">
        <v>483</v>
      </c>
      <c r="AO75" t="s">
        <v>484</v>
      </c>
      <c r="AP75" t="s">
        <v>485</v>
      </c>
    </row>
    <row r="76" spans="1:44">
      <c r="AG76" t="str">
        <f t="shared" si="1"/>
        <v>Elektrisch- oder Haspelkettenbedient</v>
      </c>
      <c r="AH76" t="s">
        <v>486</v>
      </c>
      <c r="AI76" t="s">
        <v>487</v>
      </c>
      <c r="AJ76" t="s">
        <v>488</v>
      </c>
      <c r="AK76" t="s">
        <v>489</v>
      </c>
      <c r="AL76" t="s">
        <v>490</v>
      </c>
      <c r="AM76" s="77" t="s">
        <v>491</v>
      </c>
      <c r="AN76" t="s">
        <v>492</v>
      </c>
      <c r="AO76" t="s">
        <v>493</v>
      </c>
      <c r="AP76" t="s">
        <v>494</v>
      </c>
    </row>
    <row r="77" spans="1:44">
      <c r="AG77" t="str">
        <f t="shared" si="1"/>
        <v>Motor-oder Kettenseite</v>
      </c>
      <c r="AH77" t="s">
        <v>495</v>
      </c>
      <c r="AI77" t="s">
        <v>496</v>
      </c>
      <c r="AJ77" t="s">
        <v>497</v>
      </c>
      <c r="AK77" t="s">
        <v>498</v>
      </c>
      <c r="AL77" t="s">
        <v>499</v>
      </c>
      <c r="AM77" s="77" t="s">
        <v>500</v>
      </c>
      <c r="AN77" t="s">
        <v>501</v>
      </c>
      <c r="AO77" t="s">
        <v>502</v>
      </c>
      <c r="AP77" t="s">
        <v>503</v>
      </c>
    </row>
    <row r="78" spans="1:44">
      <c r="AG78" t="str">
        <f t="shared" si="1"/>
        <v>Einbautiefe</v>
      </c>
      <c r="AH78" t="s">
        <v>424</v>
      </c>
      <c r="AI78" t="s">
        <v>425</v>
      </c>
      <c r="AJ78" t="s">
        <v>426</v>
      </c>
      <c r="AK78" t="s">
        <v>504</v>
      </c>
      <c r="AL78" t="s">
        <v>428</v>
      </c>
      <c r="AM78" s="77" t="s">
        <v>429</v>
      </c>
      <c r="AN78" t="s">
        <v>430</v>
      </c>
      <c r="AO78" t="s">
        <v>505</v>
      </c>
      <c r="AP78" t="s">
        <v>432</v>
      </c>
    </row>
    <row r="79" spans="1:44">
      <c r="AG79" t="str">
        <f t="shared" si="1"/>
        <v>Aufhängepunkte, wenn</v>
      </c>
      <c r="AH79" t="s">
        <v>506</v>
      </c>
      <c r="AI79" t="s">
        <v>507</v>
      </c>
      <c r="AJ79" t="s">
        <v>508</v>
      </c>
      <c r="AK79" t="s">
        <v>509</v>
      </c>
      <c r="AL79" t="s">
        <v>510</v>
      </c>
      <c r="AM79" t="s">
        <v>511</v>
      </c>
      <c r="AN79" t="s">
        <v>512</v>
      </c>
      <c r="AO79" t="s">
        <v>513</v>
      </c>
      <c r="AP79" t="s">
        <v>514</v>
      </c>
    </row>
    <row r="80" spans="1:44">
      <c r="AG80" t="str">
        <f t="shared" si="1"/>
        <v>Aufhängepunkte</v>
      </c>
      <c r="AH80" t="s">
        <v>515</v>
      </c>
      <c r="AI80" t="s">
        <v>516</v>
      </c>
      <c r="AJ80" t="s">
        <v>517</v>
      </c>
      <c r="AK80" t="s">
        <v>518</v>
      </c>
      <c r="AL80" t="s">
        <v>519</v>
      </c>
      <c r="AM80" t="s">
        <v>520</v>
      </c>
      <c r="AN80" t="s">
        <v>521</v>
      </c>
      <c r="AO80" t="s">
        <v>522</v>
      </c>
      <c r="AP80" t="s">
        <v>523</v>
      </c>
    </row>
    <row r="81" spans="16:42">
      <c r="AG81" t="str">
        <f t="shared" si="1"/>
        <v>Freiraum über Sturz</v>
      </c>
      <c r="AH81" t="s">
        <v>387</v>
      </c>
      <c r="AI81" t="s">
        <v>388</v>
      </c>
      <c r="AJ81" t="s">
        <v>389</v>
      </c>
      <c r="AK81" t="s">
        <v>524</v>
      </c>
      <c r="AL81" t="s">
        <v>391</v>
      </c>
      <c r="AM81" s="77" t="s">
        <v>392</v>
      </c>
      <c r="AN81" t="s">
        <v>525</v>
      </c>
      <c r="AO81" t="s">
        <v>526</v>
      </c>
      <c r="AP81" t="s">
        <v>395</v>
      </c>
    </row>
    <row r="82" spans="16:42">
      <c r="P82" s="112"/>
      <c r="Q82" s="112"/>
      <c r="AG82" t="str">
        <f t="shared" si="1"/>
        <v>Mitte Achse zum Sturz</v>
      </c>
      <c r="AH82" t="s">
        <v>527</v>
      </c>
      <c r="AI82" t="s">
        <v>528</v>
      </c>
      <c r="AJ82" t="s">
        <v>529</v>
      </c>
      <c r="AK82" t="s">
        <v>530</v>
      </c>
      <c r="AL82" t="s">
        <v>531</v>
      </c>
      <c r="AM82" s="77" t="s">
        <v>532</v>
      </c>
      <c r="AN82" t="s">
        <v>533</v>
      </c>
      <c r="AO82" t="s">
        <v>534</v>
      </c>
      <c r="AP82" t="s">
        <v>535</v>
      </c>
    </row>
    <row r="85" spans="16:42">
      <c r="AG85" t="str">
        <f t="shared" si="1"/>
        <v>Aufgestellt:</v>
      </c>
      <c r="AH85" t="s">
        <v>536</v>
      </c>
      <c r="AI85" t="s">
        <v>537</v>
      </c>
      <c r="AJ85" t="s">
        <v>538</v>
      </c>
      <c r="AK85" t="s">
        <v>539</v>
      </c>
      <c r="AL85" t="s">
        <v>540</v>
      </c>
      <c r="AM85" s="77" t="s">
        <v>541</v>
      </c>
      <c r="AN85" t="s">
        <v>542</v>
      </c>
      <c r="AO85" t="s">
        <v>543</v>
      </c>
      <c r="AP85" t="s">
        <v>544</v>
      </c>
    </row>
    <row r="86" spans="16:42">
      <c r="AG86" t="str">
        <f t="shared" si="1"/>
        <v>Bereinigt:</v>
      </c>
      <c r="AH86" t="s">
        <v>545</v>
      </c>
      <c r="AI86" t="s">
        <v>546</v>
      </c>
      <c r="AJ86" t="s">
        <v>547</v>
      </c>
      <c r="AK86" t="s">
        <v>548</v>
      </c>
      <c r="AL86" t="s">
        <v>549</v>
      </c>
      <c r="AM86" s="77" t="s">
        <v>550</v>
      </c>
      <c r="AN86" t="s">
        <v>551</v>
      </c>
      <c r="AO86" t="s">
        <v>552</v>
      </c>
      <c r="AP86" t="s">
        <v>553</v>
      </c>
    </row>
    <row r="87" spans="16:42">
      <c r="AG87" t="str">
        <f t="shared" si="1"/>
        <v>Bereinigt am:</v>
      </c>
      <c r="AH87" t="s">
        <v>554</v>
      </c>
      <c r="AI87" t="s">
        <v>555</v>
      </c>
      <c r="AJ87" t="s">
        <v>556</v>
      </c>
      <c r="AK87" t="s">
        <v>557</v>
      </c>
      <c r="AL87" t="s">
        <v>558</v>
      </c>
      <c r="AM87" s="113" t="s">
        <v>559</v>
      </c>
      <c r="AN87" t="s">
        <v>560</v>
      </c>
      <c r="AO87" t="s">
        <v>561</v>
      </c>
      <c r="AP87" t="s">
        <v>562</v>
      </c>
    </row>
    <row r="88" spans="16:42">
      <c r="AG88" t="str">
        <f t="shared" si="1"/>
        <v>Dateiname:</v>
      </c>
      <c r="AH88" t="s">
        <v>563</v>
      </c>
      <c r="AI88" t="s">
        <v>564</v>
      </c>
      <c r="AJ88" t="s">
        <v>565</v>
      </c>
      <c r="AK88" t="s">
        <v>566</v>
      </c>
      <c r="AL88" t="s">
        <v>567</v>
      </c>
      <c r="AM88" s="77" t="s">
        <v>568</v>
      </c>
      <c r="AN88" t="s">
        <v>569</v>
      </c>
      <c r="AO88" t="s">
        <v>570</v>
      </c>
      <c r="AP88" t="s">
        <v>571</v>
      </c>
    </row>
    <row r="89" spans="16:42">
      <c r="AG89" t="str">
        <f t="shared" si="1"/>
        <v>Datum:</v>
      </c>
      <c r="AH89" t="s">
        <v>572</v>
      </c>
      <c r="AI89" t="s">
        <v>573</v>
      </c>
      <c r="AJ89" t="s">
        <v>572</v>
      </c>
      <c r="AK89" t="s">
        <v>574</v>
      </c>
      <c r="AL89" t="s">
        <v>575</v>
      </c>
      <c r="AM89" s="77" t="s">
        <v>572</v>
      </c>
      <c r="AN89" t="s">
        <v>576</v>
      </c>
      <c r="AO89" t="s">
        <v>577</v>
      </c>
      <c r="AP89" t="s">
        <v>578</v>
      </c>
    </row>
    <row r="90" spans="16:42">
      <c r="AG90" t="str">
        <f t="shared" si="1"/>
        <v>Massst.:</v>
      </c>
      <c r="AH90" t="s">
        <v>579</v>
      </c>
      <c r="AI90" t="s">
        <v>580</v>
      </c>
      <c r="AJ90" t="s">
        <v>581</v>
      </c>
      <c r="AK90" t="s">
        <v>582</v>
      </c>
      <c r="AL90" t="s">
        <v>583</v>
      </c>
      <c r="AM90" s="77" t="s">
        <v>584</v>
      </c>
      <c r="AN90" t="s">
        <v>585</v>
      </c>
      <c r="AO90" t="s">
        <v>586</v>
      </c>
      <c r="AP90" t="s">
        <v>587</v>
      </c>
    </row>
    <row r="91" spans="16:42">
      <c r="AG91" t="str">
        <f t="shared" si="1"/>
        <v>Format:</v>
      </c>
      <c r="AH91" t="s">
        <v>588</v>
      </c>
      <c r="AI91" t="s">
        <v>589</v>
      </c>
      <c r="AJ91" t="s">
        <v>590</v>
      </c>
      <c r="AK91" t="s">
        <v>590</v>
      </c>
      <c r="AL91" t="s">
        <v>591</v>
      </c>
      <c r="AM91" s="77" t="s">
        <v>589</v>
      </c>
      <c r="AN91" t="s">
        <v>592</v>
      </c>
      <c r="AO91" t="s">
        <v>593</v>
      </c>
      <c r="AP91" t="s">
        <v>594</v>
      </c>
    </row>
    <row r="92" spans="16:42">
      <c r="AG92" t="str">
        <f t="shared" si="1"/>
        <v>BAUBEREITSCHAFT</v>
      </c>
      <c r="AH92" t="s">
        <v>595</v>
      </c>
      <c r="AI92" t="s">
        <v>596</v>
      </c>
      <c r="AJ92" t="s">
        <v>597</v>
      </c>
      <c r="AK92" t="s">
        <v>598</v>
      </c>
      <c r="AL92" t="s">
        <v>599</v>
      </c>
      <c r="AM92" s="77" t="s">
        <v>600</v>
      </c>
      <c r="AN92" t="s">
        <v>601</v>
      </c>
      <c r="AO92" t="s">
        <v>602</v>
      </c>
      <c r="AP92" t="s">
        <v>603</v>
      </c>
    </row>
    <row r="93" spans="16:42">
      <c r="AG93" t="str">
        <f t="shared" si="1"/>
        <v xml:space="preserve"> Federn oberhalb des Sturzes </v>
      </c>
      <c r="AH93" t="s">
        <v>604</v>
      </c>
      <c r="AI93" t="s">
        <v>605</v>
      </c>
      <c r="AJ93" t="s">
        <v>606</v>
      </c>
      <c r="AK93" t="s">
        <v>607</v>
      </c>
      <c r="AL93" t="s">
        <v>95</v>
      </c>
      <c r="AM93" s="77" t="s">
        <v>608</v>
      </c>
      <c r="AN93" t="s">
        <v>609</v>
      </c>
      <c r="AO93" t="s">
        <v>98</v>
      </c>
      <c r="AP93" t="s">
        <v>99</v>
      </c>
    </row>
    <row r="94" spans="16:42">
      <c r="AG94" t="str">
        <f t="shared" si="1"/>
        <v>BAUBEREITSCHAFT VERTIKALER BESCHLAG (VL)</v>
      </c>
      <c r="AH94" t="s">
        <v>610</v>
      </c>
      <c r="AI94" t="s">
        <v>611</v>
      </c>
      <c r="AJ94" t="s">
        <v>612</v>
      </c>
      <c r="AK94" t="s">
        <v>613</v>
      </c>
      <c r="AL94" s="10" t="s">
        <v>614</v>
      </c>
      <c r="AM94" s="77" t="s">
        <v>600</v>
      </c>
      <c r="AN94" t="s">
        <v>615</v>
      </c>
      <c r="AO94" t="s">
        <v>616</v>
      </c>
      <c r="AP94" t="s">
        <v>617</v>
      </c>
    </row>
    <row r="95" spans="16:42">
      <c r="AG95" t="str">
        <f t="shared" si="1"/>
        <v>Kode:</v>
      </c>
      <c r="AH95" t="s">
        <v>618</v>
      </c>
      <c r="AI95" t="s">
        <v>619</v>
      </c>
      <c r="AJ95" t="s">
        <v>620</v>
      </c>
      <c r="AK95" t="s">
        <v>621</v>
      </c>
      <c r="AL95" t="s">
        <v>622</v>
      </c>
      <c r="AM95" s="77" t="s">
        <v>623</v>
      </c>
      <c r="AN95" t="s">
        <v>624</v>
      </c>
      <c r="AO95" t="s">
        <v>625</v>
      </c>
      <c r="AP95" t="s">
        <v>626</v>
      </c>
    </row>
    <row r="96" spans="16:42">
      <c r="AG96" t="str">
        <f t="shared" si="1"/>
        <v>Version:</v>
      </c>
      <c r="AH96" t="s">
        <v>627</v>
      </c>
      <c r="AI96" t="s">
        <v>628</v>
      </c>
      <c r="AJ96" t="s">
        <v>628</v>
      </c>
      <c r="AK96" t="s">
        <v>629</v>
      </c>
      <c r="AL96" t="s">
        <v>630</v>
      </c>
      <c r="AM96" s="77" t="s">
        <v>631</v>
      </c>
      <c r="AN96" t="s">
        <v>632</v>
      </c>
      <c r="AO96" t="s">
        <v>633</v>
      </c>
      <c r="AP96" t="s">
        <v>634</v>
      </c>
    </row>
    <row r="97" spans="33:42">
      <c r="AG97" t="str">
        <f t="shared" si="1"/>
        <v>NICHT ERFORDELICH</v>
      </c>
      <c r="AH97" t="s">
        <v>635</v>
      </c>
      <c r="AI97" t="s">
        <v>636</v>
      </c>
      <c r="AJ97" s="10" t="s">
        <v>637</v>
      </c>
      <c r="AK97" s="10" t="s">
        <v>638</v>
      </c>
      <c r="AL97" s="10" t="s">
        <v>639</v>
      </c>
      <c r="AM97" s="77" t="s">
        <v>640</v>
      </c>
      <c r="AN97" t="s">
        <v>641</v>
      </c>
      <c r="AO97" t="s">
        <v>642</v>
      </c>
      <c r="AP97" t="s">
        <v>643</v>
      </c>
    </row>
    <row r="99" spans="33:42">
      <c r="AG99" t="str">
        <f t="shared" si="1"/>
        <v>Fülen Sie bitte markierte Felder!</v>
      </c>
      <c r="AH99" t="s">
        <v>644</v>
      </c>
      <c r="AI99" t="s">
        <v>645</v>
      </c>
      <c r="AJ99" t="s">
        <v>646</v>
      </c>
      <c r="AK99" t="s">
        <v>647</v>
      </c>
      <c r="AL99" t="s">
        <v>648</v>
      </c>
      <c r="AM99" s="77" t="s">
        <v>649</v>
      </c>
      <c r="AN99" t="s">
        <v>650</v>
      </c>
      <c r="AO99" t="s">
        <v>651</v>
      </c>
      <c r="AP99" t="s">
        <v>652</v>
      </c>
    </row>
    <row r="101" spans="33:42">
      <c r="AG101" t="str">
        <f t="shared" si="1"/>
        <v>Bedienung</v>
      </c>
      <c r="AH101" t="s">
        <v>653</v>
      </c>
      <c r="AI101" t="s">
        <v>654</v>
      </c>
      <c r="AJ101" t="s">
        <v>655</v>
      </c>
      <c r="AK101" t="s">
        <v>656</v>
      </c>
      <c r="AL101" t="s">
        <v>657</v>
      </c>
      <c r="AM101" t="s">
        <v>658</v>
      </c>
      <c r="AN101" t="s">
        <v>659</v>
      </c>
      <c r="AO101" t="s">
        <v>660</v>
      </c>
      <c r="AP101" t="s">
        <v>661</v>
      </c>
    </row>
    <row r="102" spans="33:42">
      <c r="AG102" t="str">
        <f t="shared" si="1"/>
        <v>hand</v>
      </c>
      <c r="AH102" t="s">
        <v>662</v>
      </c>
      <c r="AI102" t="s">
        <v>663</v>
      </c>
      <c r="AJ102" t="s">
        <v>664</v>
      </c>
      <c r="AK102" t="s">
        <v>665</v>
      </c>
      <c r="AL102" t="s">
        <v>666</v>
      </c>
      <c r="AM102" t="s">
        <v>664</v>
      </c>
      <c r="AN102" t="s">
        <v>667</v>
      </c>
      <c r="AO102" t="s">
        <v>668</v>
      </c>
      <c r="AP102" s="114" t="s">
        <v>669</v>
      </c>
    </row>
    <row r="103" spans="33:42" ht="15" customHeight="1">
      <c r="AG103" t="str">
        <f t="shared" si="1"/>
        <v>elektrisch</v>
      </c>
      <c r="AH103" t="s">
        <v>670</v>
      </c>
      <c r="AI103" t="s">
        <v>671</v>
      </c>
      <c r="AJ103" t="s">
        <v>672</v>
      </c>
      <c r="AK103" t="s">
        <v>673</v>
      </c>
      <c r="AL103" t="s">
        <v>674</v>
      </c>
      <c r="AM103" t="s">
        <v>672</v>
      </c>
      <c r="AN103" t="s">
        <v>675</v>
      </c>
      <c r="AO103" t="s">
        <v>676</v>
      </c>
      <c r="AP103" s="114" t="s">
        <v>494</v>
      </c>
    </row>
    <row r="104" spans="33:42" ht="19.5" customHeight="1">
      <c r="AG104" t="str">
        <f t="shared" si="1"/>
        <v>Haspelkette - links</v>
      </c>
      <c r="AH104" t="s">
        <v>677</v>
      </c>
      <c r="AI104" t="s">
        <v>678</v>
      </c>
      <c r="AJ104" t="s">
        <v>679</v>
      </c>
      <c r="AK104" t="s">
        <v>680</v>
      </c>
      <c r="AL104" t="s">
        <v>681</v>
      </c>
      <c r="AM104" t="s">
        <v>682</v>
      </c>
      <c r="AN104" t="s">
        <v>683</v>
      </c>
      <c r="AO104" t="s">
        <v>684</v>
      </c>
      <c r="AP104" s="115" t="s">
        <v>685</v>
      </c>
    </row>
    <row r="105" spans="33:42">
      <c r="AG105" t="str">
        <f t="shared" si="1"/>
        <v>Haspelkette - rechts</v>
      </c>
      <c r="AH105" t="s">
        <v>686</v>
      </c>
      <c r="AI105" t="s">
        <v>687</v>
      </c>
      <c r="AJ105" t="s">
        <v>688</v>
      </c>
      <c r="AK105" s="116" t="s">
        <v>689</v>
      </c>
      <c r="AL105" t="s">
        <v>690</v>
      </c>
      <c r="AM105" t="s">
        <v>691</v>
      </c>
      <c r="AN105" t="s">
        <v>692</v>
      </c>
      <c r="AO105" t="s">
        <v>693</v>
      </c>
      <c r="AP105" t="s">
        <v>694</v>
      </c>
    </row>
    <row r="106" spans="33:42">
      <c r="AG106" t="str">
        <f t="shared" si="1"/>
        <v>Antriebesposition</v>
      </c>
      <c r="AH106" t="s">
        <v>695</v>
      </c>
      <c r="AI106" t="s">
        <v>696</v>
      </c>
      <c r="AJ106" t="s">
        <v>697</v>
      </c>
      <c r="AK106" t="s">
        <v>698</v>
      </c>
      <c r="AL106" t="s">
        <v>699</v>
      </c>
      <c r="AM106" t="s">
        <v>700</v>
      </c>
      <c r="AN106" t="s">
        <v>701</v>
      </c>
      <c r="AO106" t="s">
        <v>702</v>
      </c>
      <c r="AP106" t="s">
        <v>703</v>
      </c>
    </row>
    <row r="107" spans="33:42">
      <c r="AG107" t="str">
        <f>VLOOKUP(AH107,AH107:AR201,$AE$1,FALSE)</f>
        <v>Antrieb - links</v>
      </c>
      <c r="AH107" t="s">
        <v>704</v>
      </c>
      <c r="AI107" t="s">
        <v>705</v>
      </c>
      <c r="AJ107" t="s">
        <v>706</v>
      </c>
      <c r="AK107" t="s">
        <v>707</v>
      </c>
      <c r="AL107" t="s">
        <v>708</v>
      </c>
      <c r="AM107" t="s">
        <v>709</v>
      </c>
      <c r="AN107" t="s">
        <v>710</v>
      </c>
      <c r="AO107" t="s">
        <v>711</v>
      </c>
      <c r="AP107" t="s">
        <v>712</v>
      </c>
    </row>
    <row r="108" spans="33:42">
      <c r="AG108" t="str">
        <f t="shared" si="1"/>
        <v>Antrieb - rechts</v>
      </c>
      <c r="AH108" t="s">
        <v>713</v>
      </c>
      <c r="AI108" t="s">
        <v>714</v>
      </c>
      <c r="AJ108" t="s">
        <v>715</v>
      </c>
      <c r="AK108" t="s">
        <v>716</v>
      </c>
      <c r="AL108" t="s">
        <v>717</v>
      </c>
      <c r="AM108" t="s">
        <v>718</v>
      </c>
      <c r="AN108" t="s">
        <v>719</v>
      </c>
      <c r="AO108" t="s">
        <v>720</v>
      </c>
      <c r="AP108" t="s">
        <v>721</v>
      </c>
    </row>
    <row r="110" spans="33:42">
      <c r="AG110" t="str">
        <f t="shared" si="1"/>
        <v>Extra Aufhängung Federpaket</v>
      </c>
      <c r="AH110" t="s">
        <v>722</v>
      </c>
      <c r="AI110" t="s">
        <v>723</v>
      </c>
      <c r="AJ110" t="s">
        <v>724</v>
      </c>
      <c r="AK110" t="s">
        <v>725</v>
      </c>
      <c r="AL110" t="s">
        <v>726</v>
      </c>
      <c r="AM110" s="117" t="s">
        <v>727</v>
      </c>
    </row>
    <row r="111" spans="33:42">
      <c r="AG111" t="str">
        <f t="shared" si="1"/>
        <v>Wenn W&lt; 2000 - BAUS-1 Feder (SPR-1)</v>
      </c>
      <c r="AH111" t="s">
        <v>728</v>
      </c>
      <c r="AI111" t="s">
        <v>729</v>
      </c>
      <c r="AJ111" t="s">
        <v>730</v>
      </c>
      <c r="AK111" t="s">
        <v>731</v>
      </c>
      <c r="AL111" t="s">
        <v>732</v>
      </c>
      <c r="AM111" s="117" t="s">
        <v>733</v>
      </c>
    </row>
    <row r="112" spans="33:42">
      <c r="AG112" t="str">
        <f t="shared" si="1"/>
        <v>Wenn 2000&gt;=W&lt;6000- BAUS-2 Federn (SPR-2)</v>
      </c>
      <c r="AH112" t="s">
        <v>734</v>
      </c>
      <c r="AI112" t="s">
        <v>735</v>
      </c>
      <c r="AJ112" t="s">
        <v>736</v>
      </c>
      <c r="AK112" t="s">
        <v>737</v>
      </c>
      <c r="AL112" t="s">
        <v>738</v>
      </c>
      <c r="AM112" s="117" t="s">
        <v>739</v>
      </c>
    </row>
    <row r="113" spans="33:42">
      <c r="AG113" t="str">
        <f t="shared" si="1"/>
        <v>Wenn W&gt;=6000 - BAUS-4 Federn (SPR-4)</v>
      </c>
      <c r="AH113" t="s">
        <v>740</v>
      </c>
      <c r="AI113" t="s">
        <v>741</v>
      </c>
      <c r="AJ113" t="s">
        <v>742</v>
      </c>
      <c r="AK113" t="s">
        <v>743</v>
      </c>
      <c r="AL113" t="s">
        <v>744</v>
      </c>
      <c r="AM113" s="117" t="s">
        <v>745</v>
      </c>
    </row>
    <row r="114" spans="33:42">
      <c r="AM114" s="115"/>
    </row>
    <row r="115" spans="33:42">
      <c r="AG115" t="str">
        <f t="shared" si="1"/>
        <v>Wenn H=&lt;3300</v>
      </c>
      <c r="AH115" t="s">
        <v>746</v>
      </c>
      <c r="AI115" t="s">
        <v>747</v>
      </c>
      <c r="AJ115" t="s">
        <v>748</v>
      </c>
      <c r="AK115" t="s">
        <v>749</v>
      </c>
      <c r="AL115" t="s">
        <v>750</v>
      </c>
      <c r="AM115" s="117" t="s">
        <v>751</v>
      </c>
      <c r="AN115" s="118" t="s">
        <v>752</v>
      </c>
      <c r="AO115" s="118" t="s">
        <v>753</v>
      </c>
      <c r="AP115" s="119" t="s">
        <v>754</v>
      </c>
    </row>
    <row r="116" spans="33:42">
      <c r="AG116" t="str">
        <f t="shared" si="1"/>
        <v>Wenn 3300&lt;H=&lt;5950</v>
      </c>
      <c r="AH116" t="s">
        <v>755</v>
      </c>
      <c r="AI116" t="s">
        <v>756</v>
      </c>
      <c r="AJ116" t="s">
        <v>757</v>
      </c>
      <c r="AK116" t="s">
        <v>758</v>
      </c>
      <c r="AL116" t="s">
        <v>759</v>
      </c>
      <c r="AM116" s="117" t="s">
        <v>760</v>
      </c>
      <c r="AN116" t="s">
        <v>761</v>
      </c>
      <c r="AO116" s="118" t="s">
        <v>762</v>
      </c>
      <c r="AP116" s="119" t="s">
        <v>763</v>
      </c>
    </row>
    <row r="117" spans="33:42">
      <c r="AG117" t="str">
        <f t="shared" si="1"/>
        <v>Wenn H=&gt;5950</v>
      </c>
      <c r="AH117" t="s">
        <v>764</v>
      </c>
      <c r="AI117" t="s">
        <v>765</v>
      </c>
      <c r="AJ117" t="s">
        <v>766</v>
      </c>
      <c r="AK117" t="s">
        <v>767</v>
      </c>
      <c r="AL117" t="s">
        <v>768</v>
      </c>
      <c r="AM117" s="117" t="s">
        <v>769</v>
      </c>
      <c r="AN117" t="s">
        <v>770</v>
      </c>
      <c r="AO117" s="118" t="s">
        <v>771</v>
      </c>
      <c r="AP117" s="119" t="s">
        <v>772</v>
      </c>
    </row>
    <row r="119" spans="33:42" ht="15.75">
      <c r="AG119" t="str">
        <f>VLOOKUP(AH119,AH119:AR195,$AE$1,FALSE)</f>
        <v>Geschweißte Stahlkonstruktion des Profils nach dem Maße 100x50x4</v>
      </c>
      <c r="AH119" t="s">
        <v>773</v>
      </c>
      <c r="AI119" t="s">
        <v>774</v>
      </c>
      <c r="AJ119" t="s">
        <v>775</v>
      </c>
      <c r="AK119" t="s">
        <v>776</v>
      </c>
      <c r="AL119" t="s">
        <v>777</v>
      </c>
      <c r="AM119" s="63" t="s">
        <v>778</v>
      </c>
      <c r="AN119" t="s">
        <v>779</v>
      </c>
      <c r="AO119" t="s">
        <v>780</v>
      </c>
      <c r="AP119" t="s">
        <v>781</v>
      </c>
    </row>
    <row r="120" spans="33:42">
      <c r="AG120" t="str">
        <f t="shared" ref="AG120:AG128" si="2">VLOOKUP(AH120,AH120:AR196,$AE$1,FALSE)</f>
        <v>Paneel-Typ</v>
      </c>
      <c r="AH120" t="s">
        <v>782</v>
      </c>
      <c r="AI120" t="s">
        <v>783</v>
      </c>
      <c r="AJ120" s="120" t="s">
        <v>784</v>
      </c>
      <c r="AK120" t="s">
        <v>785</v>
      </c>
      <c r="AL120" t="s">
        <v>786</v>
      </c>
      <c r="AM120" s="117" t="s">
        <v>787</v>
      </c>
      <c r="AN120" t="s">
        <v>788</v>
      </c>
      <c r="AO120" t="s">
        <v>789</v>
      </c>
      <c r="AP120" t="s">
        <v>790</v>
      </c>
    </row>
    <row r="121" spans="33:42">
      <c r="AG121" t="str">
        <f t="shared" si="2"/>
        <v>40mm</v>
      </c>
      <c r="AH121" t="s">
        <v>791</v>
      </c>
      <c r="AI121" t="s">
        <v>791</v>
      </c>
      <c r="AJ121" t="s">
        <v>791</v>
      </c>
      <c r="AK121" t="s">
        <v>791</v>
      </c>
      <c r="AL121" t="s">
        <v>791</v>
      </c>
      <c r="AM121" t="s">
        <v>791</v>
      </c>
      <c r="AN121" t="s">
        <v>792</v>
      </c>
      <c r="AO121" t="s">
        <v>791</v>
      </c>
      <c r="AP121" t="s">
        <v>793</v>
      </c>
    </row>
    <row r="122" spans="33:42">
      <c r="AG122" t="str">
        <f t="shared" si="2"/>
        <v>80mm</v>
      </c>
      <c r="AH122" t="s">
        <v>794</v>
      </c>
      <c r="AI122" t="s">
        <v>794</v>
      </c>
      <c r="AJ122" t="s">
        <v>794</v>
      </c>
      <c r="AK122" t="s">
        <v>794</v>
      </c>
      <c r="AL122" t="s">
        <v>794</v>
      </c>
      <c r="AM122" t="s">
        <v>794</v>
      </c>
      <c r="AN122" t="s">
        <v>795</v>
      </c>
      <c r="AO122" t="s">
        <v>794</v>
      </c>
      <c r="AP122" t="s">
        <v>796</v>
      </c>
    </row>
    <row r="124" spans="33:42" ht="15.75">
      <c r="AG124" t="str">
        <f t="shared" si="2"/>
        <v>Wenn 1 1/4 "Welle und Wellenachse H + 180 mm</v>
      </c>
      <c r="AH124" t="s">
        <v>797</v>
      </c>
      <c r="AI124" t="s">
        <v>798</v>
      </c>
      <c r="AJ124" s="121" t="s">
        <v>799</v>
      </c>
      <c r="AK124" s="121" t="s">
        <v>800</v>
      </c>
      <c r="AL124" s="121" t="s">
        <v>801</v>
      </c>
      <c r="AM124" s="121" t="s">
        <v>802</v>
      </c>
      <c r="AN124" t="s">
        <v>803</v>
      </c>
      <c r="AO124" t="s">
        <v>804</v>
      </c>
      <c r="AP124" t="s">
        <v>805</v>
      </c>
    </row>
    <row r="126" spans="33:42">
      <c r="AG126" t="str">
        <f t="shared" si="2"/>
        <v>Laufschienen-Typ</v>
      </c>
      <c r="AH126" t="s">
        <v>806</v>
      </c>
      <c r="AI126" t="s">
        <v>807</v>
      </c>
      <c r="AJ126" t="s">
        <v>808</v>
      </c>
      <c r="AK126" t="s">
        <v>809</v>
      </c>
      <c r="AL126" t="s">
        <v>810</v>
      </c>
      <c r="AM126" t="s">
        <v>811</v>
      </c>
      <c r="AN126" t="s">
        <v>812</v>
      </c>
      <c r="AO126" t="s">
        <v>813</v>
      </c>
      <c r="AP126" t="s">
        <v>814</v>
      </c>
    </row>
    <row r="127" spans="33:42">
      <c r="AG127" t="str">
        <f t="shared" si="2"/>
        <v>2"</v>
      </c>
      <c r="AH127" t="s">
        <v>815</v>
      </c>
      <c r="AI127" t="s">
        <v>815</v>
      </c>
      <c r="AJ127" t="s">
        <v>815</v>
      </c>
      <c r="AK127" t="s">
        <v>815</v>
      </c>
      <c r="AL127" t="s">
        <v>815</v>
      </c>
      <c r="AM127" t="s">
        <v>815</v>
      </c>
      <c r="AN127" t="s">
        <v>815</v>
      </c>
      <c r="AO127" t="s">
        <v>815</v>
      </c>
      <c r="AP127" t="s">
        <v>815</v>
      </c>
    </row>
    <row r="128" spans="33:42">
      <c r="AG128" t="str">
        <f t="shared" si="2"/>
        <v>3"</v>
      </c>
      <c r="AH128" t="s">
        <v>816</v>
      </c>
      <c r="AI128" t="s">
        <v>816</v>
      </c>
      <c r="AJ128" t="s">
        <v>816</v>
      </c>
      <c r="AK128" t="s">
        <v>816</v>
      </c>
      <c r="AL128" t="s">
        <v>816</v>
      </c>
      <c r="AM128" t="s">
        <v>816</v>
      </c>
      <c r="AN128" t="s">
        <v>816</v>
      </c>
      <c r="AO128" t="s">
        <v>816</v>
      </c>
      <c r="AP128" t="s">
        <v>816</v>
      </c>
    </row>
    <row r="129" spans="33:42">
      <c r="AG129" t="str">
        <f>VLOOKUP(AH129,AH129:AR223,$AE$1,FALSE)</f>
        <v>Angebot/Bestellung:</v>
      </c>
      <c r="AH129" t="s">
        <v>817</v>
      </c>
      <c r="AI129" t="s">
        <v>818</v>
      </c>
      <c r="AJ129" t="s">
        <v>819</v>
      </c>
      <c r="AK129" t="s">
        <v>820</v>
      </c>
      <c r="AL129" t="s">
        <v>821</v>
      </c>
      <c r="AM129" t="s">
        <v>822</v>
      </c>
      <c r="AN129" t="s">
        <v>823</v>
      </c>
      <c r="AO129" t="s">
        <v>824</v>
      </c>
      <c r="AP129" t="s">
        <v>825</v>
      </c>
    </row>
    <row r="130" spans="33:42">
      <c r="AG130" t="str">
        <f>VLOOKUP(AH130,AH130:AR224,$AE$1,FALSE)</f>
        <v>Position:</v>
      </c>
      <c r="AH130" t="s">
        <v>826</v>
      </c>
      <c r="AI130" t="s">
        <v>827</v>
      </c>
      <c r="AJ130" t="s">
        <v>827</v>
      </c>
      <c r="AK130" t="s">
        <v>828</v>
      </c>
      <c r="AL130" t="s">
        <v>829</v>
      </c>
      <c r="AM130" t="s">
        <v>830</v>
      </c>
      <c r="AN130" t="s">
        <v>831</v>
      </c>
      <c r="AO130" t="s">
        <v>832</v>
      </c>
      <c r="AP130" t="s">
        <v>833</v>
      </c>
    </row>
    <row r="131" spans="33:42">
      <c r="AG131" t="str">
        <f>VLOOKUP(AH131,AH131:AR226,$AE$1,FALSE)</f>
        <v>Für Seilbruchsicher mit orangefarbenem Deckel Seitenabstand (L und R) min. 145mm</v>
      </c>
      <c r="AH131" t="s">
        <v>834</v>
      </c>
      <c r="AI131" t="s">
        <v>835</v>
      </c>
      <c r="AJ131" t="s">
        <v>836</v>
      </c>
      <c r="AK131" t="s">
        <v>837</v>
      </c>
      <c r="AL131" t="s">
        <v>838</v>
      </c>
      <c r="AM131" s="116" t="s">
        <v>839</v>
      </c>
      <c r="AN131" t="s">
        <v>840</v>
      </c>
      <c r="AO131" t="s">
        <v>841</v>
      </c>
      <c r="AP131" t="s">
        <v>842</v>
      </c>
    </row>
    <row r="132" spans="33:42">
      <c r="AG132" t="str">
        <f t="shared" ref="AG132:AG133" si="3">VLOOKUP(AH132,AH132:AR227,$AE$1,FALSE)</f>
        <v xml:space="preserve">Antriebseite </v>
      </c>
      <c r="AH132" t="s">
        <v>843</v>
      </c>
      <c r="AI132" t="s">
        <v>844</v>
      </c>
      <c r="AJ132" t="s">
        <v>845</v>
      </c>
      <c r="AK132" t="s">
        <v>846</v>
      </c>
      <c r="AL132" t="s">
        <v>847</v>
      </c>
      <c r="AM132" t="s">
        <v>848</v>
      </c>
      <c r="AN132" t="s">
        <v>849</v>
      </c>
      <c r="AO132" t="s">
        <v>850</v>
      </c>
      <c r="AP132" t="s">
        <v>851</v>
      </c>
    </row>
    <row r="133" spans="33:42">
      <c r="AG133" t="str">
        <f t="shared" si="3"/>
        <v xml:space="preserve">Andere Seite </v>
      </c>
      <c r="AH133" t="s">
        <v>852</v>
      </c>
      <c r="AI133" t="s">
        <v>853</v>
      </c>
      <c r="AJ133" t="s">
        <v>854</v>
      </c>
      <c r="AK133" t="s">
        <v>855</v>
      </c>
      <c r="AL133" t="s">
        <v>856</v>
      </c>
      <c r="AM133" t="s">
        <v>857</v>
      </c>
      <c r="AN133" t="s">
        <v>858</v>
      </c>
      <c r="AO133" t="s">
        <v>859</v>
      </c>
      <c r="AP133" t="s">
        <v>860</v>
      </c>
    </row>
  </sheetData>
  <sheetProtection algorithmName="SHA-512" hashValue="pq7zZBjwQsYFY/Rl3/1cTJlp8Vqnt+zqsV766TE/hPoHSL7jC65py54DgDyLnbWYt2G2kZqrO4VhzYNuoXNNuA==" saltValue="OO1KYit08lqljfK0ASn0Nw==" spinCount="100000" sheet="1" selectLockedCells="1"/>
  <mergeCells count="53">
    <mergeCell ref="B16:B22"/>
    <mergeCell ref="C16:C19"/>
    <mergeCell ref="W2:AB3"/>
    <mergeCell ref="X4:AB4"/>
    <mergeCell ref="K7:N7"/>
    <mergeCell ref="O7:P7"/>
    <mergeCell ref="R7:S7"/>
    <mergeCell ref="K9:M9"/>
    <mergeCell ref="R9:S9"/>
    <mergeCell ref="D11:F11"/>
    <mergeCell ref="K11:M11"/>
    <mergeCell ref="E13:E14"/>
    <mergeCell ref="G13:G18"/>
    <mergeCell ref="Q13:R13"/>
    <mergeCell ref="S16:S17"/>
    <mergeCell ref="H17:H18"/>
    <mergeCell ref="N18:N19"/>
    <mergeCell ref="R19:R21"/>
    <mergeCell ref="S19:S21"/>
    <mergeCell ref="B23:B26"/>
    <mergeCell ref="T25:T27"/>
    <mergeCell ref="C26:C28"/>
    <mergeCell ref="B27:B28"/>
    <mergeCell ref="S27:S29"/>
    <mergeCell ref="G28:G29"/>
    <mergeCell ref="H28:H29"/>
    <mergeCell ref="C39:C43"/>
    <mergeCell ref="Y39:AA40"/>
    <mergeCell ref="E40:F40"/>
    <mergeCell ref="Y42:AA43"/>
    <mergeCell ref="U21:U22"/>
    <mergeCell ref="T22:T23"/>
    <mergeCell ref="C20:C22"/>
    <mergeCell ref="D33:F33"/>
    <mergeCell ref="E35:G35"/>
    <mergeCell ref="Q35:Q36"/>
    <mergeCell ref="Y36:AB36"/>
    <mergeCell ref="D37:E37"/>
    <mergeCell ref="R51:AB52"/>
    <mergeCell ref="R54:AB55"/>
    <mergeCell ref="R61:S61"/>
    <mergeCell ref="T61:U61"/>
    <mergeCell ref="V61:W61"/>
    <mergeCell ref="X61:Y61"/>
    <mergeCell ref="V68:Y69"/>
    <mergeCell ref="AA68:AB68"/>
    <mergeCell ref="AA69:AB69"/>
    <mergeCell ref="R62:S62"/>
    <mergeCell ref="T62:U62"/>
    <mergeCell ref="V62:W62"/>
    <mergeCell ref="X62:Y62"/>
    <mergeCell ref="R63:U64"/>
    <mergeCell ref="V63:AB67"/>
  </mergeCells>
  <conditionalFormatting sqref="K3 K5">
    <cfRule type="cellIs" dxfId="2" priority="1" stopIfTrue="1" operator="equal">
      <formula>0</formula>
    </cfRule>
  </conditionalFormatting>
  <conditionalFormatting sqref="R7:S7">
    <cfRule type="expression" dxfId="1" priority="3" stopIfTrue="1">
      <formula>AND(OR($K$7=$AG$102,K7=""))</formula>
    </cfRule>
  </conditionalFormatting>
  <conditionalFormatting sqref="R9:S9">
    <cfRule type="expression" dxfId="0" priority="2" stopIfTrue="1">
      <formula>AND(OR($K$7=$AG$102,K7=""))</formula>
    </cfRule>
  </conditionalFormatting>
  <dataValidations count="6">
    <dataValidation type="list" allowBlank="1" showInputMessage="1" showErrorMessage="1" sqref="K7:N7" xr:uid="{6747EC37-E647-460F-B240-494E2F6578A7}">
      <formula1>$AU$1:$AU$5</formula1>
    </dataValidation>
    <dataValidation type="list" allowBlank="1" showInputMessage="1" showErrorMessage="1" sqref="E5" xr:uid="{44715BDB-C54F-4F73-BABC-8AE675EAFA14}">
      <formula1>$AD$3:$AD$11</formula1>
    </dataValidation>
    <dataValidation type="custom" allowBlank="1" showInputMessage="1" showErrorMessage="1" error="H max 6500 mm_x000a__x000a_WxH max 40 m2" sqref="K5" xr:uid="{7DD4C28C-BC05-4038-BDE2-F5B5807FF386}">
      <formula1>IF(OR(K5&gt;6500,K3/1000*K5/1000&gt;40),FALSE,TRUE)</formula1>
    </dataValidation>
    <dataValidation type="custom" allowBlank="1" showInputMessage="1" showErrorMessage="1" error="W max 8000 mm" sqref="K3" xr:uid="{3B8D0CB1-4500-4B0C-A812-ECB2F57D1256}">
      <formula1>IF(OR(K3&gt;8000,K3/1000*K5/1000&gt;40),FALSE,TRUE)</formula1>
    </dataValidation>
    <dataValidation type="list" allowBlank="1" showInputMessage="1" showErrorMessage="1" sqref="K11" xr:uid="{B2D3B960-9DB1-4B54-8AF7-5D830D14BAA5}">
      <formula1>AG127:AG128</formula1>
    </dataValidation>
    <dataValidation type="list" allowBlank="1" showInputMessage="1" showErrorMessage="1" sqref="K9" xr:uid="{C233E3E3-C8DB-413B-B83D-39940E5A0B47}">
      <formula1>AG121:AG122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colBreaks count="1" manualBreakCount="1">
    <brk id="29" max="6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6307-941E-4CEF-B194-241434A6A91B}">
  <sheetPr codeName="List2"/>
  <dimension ref="A1:I49"/>
  <sheetViews>
    <sheetView showGridLines="0" workbookViewId="0">
      <selection activeCell="H42" sqref="H42:I49"/>
    </sheetView>
  </sheetViews>
  <sheetFormatPr baseColWidth="10" defaultColWidth="9.140625" defaultRowHeight="15"/>
  <sheetData>
    <row r="1" spans="1:9">
      <c r="A1" s="2"/>
      <c r="B1" s="6"/>
      <c r="C1" s="6"/>
      <c r="D1" s="6"/>
      <c r="E1" s="6"/>
      <c r="F1" s="6"/>
      <c r="G1" s="6"/>
      <c r="H1" s="6"/>
      <c r="I1" s="122"/>
    </row>
    <row r="2" spans="1:9">
      <c r="A2" s="24"/>
      <c r="I2" s="5"/>
    </row>
    <row r="3" spans="1:9">
      <c r="A3" s="24"/>
      <c r="C3" s="34"/>
      <c r="D3" s="194"/>
      <c r="I3" s="5"/>
    </row>
    <row r="4" spans="1:9">
      <c r="A4" s="24"/>
      <c r="B4" s="123"/>
      <c r="D4" s="194"/>
      <c r="I4" s="5"/>
    </row>
    <row r="5" spans="1:9">
      <c r="A5" s="24"/>
      <c r="I5" s="5"/>
    </row>
    <row r="6" spans="1:9">
      <c r="A6" s="124"/>
      <c r="I6" s="5"/>
    </row>
    <row r="7" spans="1:9">
      <c r="A7" s="124"/>
      <c r="I7" s="5"/>
    </row>
    <row r="8" spans="1:9">
      <c r="A8" s="124"/>
      <c r="I8" s="5"/>
    </row>
    <row r="9" spans="1:9">
      <c r="A9" s="124"/>
      <c r="B9" s="211"/>
      <c r="I9" s="5"/>
    </row>
    <row r="10" spans="1:9">
      <c r="A10" s="24"/>
      <c r="B10" s="211"/>
      <c r="I10" s="5"/>
    </row>
    <row r="11" spans="1:9">
      <c r="A11" s="24"/>
      <c r="B11" s="211"/>
      <c r="I11" s="5"/>
    </row>
    <row r="12" spans="1:9">
      <c r="A12" s="24"/>
      <c r="B12" s="211"/>
      <c r="I12" s="5"/>
    </row>
    <row r="13" spans="1:9">
      <c r="A13" s="24"/>
      <c r="I13" s="5"/>
    </row>
    <row r="14" spans="1:9">
      <c r="A14" s="24"/>
      <c r="I14" s="5"/>
    </row>
    <row r="15" spans="1:9">
      <c r="A15" s="125"/>
      <c r="I15" s="5"/>
    </row>
    <row r="16" spans="1:9">
      <c r="A16" s="125"/>
      <c r="I16" s="5"/>
    </row>
    <row r="17" spans="1:9">
      <c r="A17" s="125"/>
      <c r="I17" s="5"/>
    </row>
    <row r="18" spans="1:9">
      <c r="A18" s="125"/>
      <c r="I18" s="5"/>
    </row>
    <row r="19" spans="1:9">
      <c r="A19" s="24"/>
      <c r="I19" s="5"/>
    </row>
    <row r="20" spans="1:9">
      <c r="A20" s="24"/>
      <c r="I20" s="5"/>
    </row>
    <row r="21" spans="1:9">
      <c r="A21" s="24"/>
      <c r="B21" s="211"/>
      <c r="I21" s="5"/>
    </row>
    <row r="22" spans="1:9">
      <c r="A22" s="24"/>
      <c r="B22" s="211"/>
      <c r="I22" s="5"/>
    </row>
    <row r="23" spans="1:9">
      <c r="A23" s="24"/>
      <c r="B23" s="211"/>
      <c r="I23" s="5"/>
    </row>
    <row r="24" spans="1:9">
      <c r="A24" s="24"/>
      <c r="B24" s="211"/>
      <c r="I24" s="5"/>
    </row>
    <row r="25" spans="1:9">
      <c r="A25" s="24"/>
      <c r="I25" s="5"/>
    </row>
    <row r="26" spans="1:9">
      <c r="A26" s="24"/>
      <c r="I26" s="5"/>
    </row>
    <row r="27" spans="1:9">
      <c r="A27" s="24"/>
      <c r="D27" s="34"/>
      <c r="G27" s="34"/>
      <c r="I27" s="5"/>
    </row>
    <row r="28" spans="1:9">
      <c r="A28" s="24"/>
      <c r="F28" s="34"/>
      <c r="I28" s="5"/>
    </row>
    <row r="29" spans="1:9">
      <c r="A29" s="24"/>
      <c r="D29" s="34"/>
      <c r="F29" s="34"/>
      <c r="I29" s="5"/>
    </row>
    <row r="30" spans="1:9">
      <c r="A30" s="24"/>
      <c r="I30" s="5"/>
    </row>
    <row r="31" spans="1:9">
      <c r="A31" s="24"/>
      <c r="E31" s="34"/>
      <c r="I31" s="5"/>
    </row>
    <row r="32" spans="1:9">
      <c r="A32" s="24"/>
      <c r="I32" s="5"/>
    </row>
    <row r="33" spans="1:9">
      <c r="A33" s="24"/>
      <c r="I33" s="5"/>
    </row>
    <row r="34" spans="1:9">
      <c r="A34" s="24"/>
      <c r="I34" s="5"/>
    </row>
    <row r="35" spans="1:9">
      <c r="A35" s="24"/>
      <c r="I35" s="5"/>
    </row>
    <row r="36" spans="1:9">
      <c r="A36" s="24"/>
      <c r="I36" s="5"/>
    </row>
    <row r="37" spans="1:9">
      <c r="A37" s="24"/>
      <c r="I37" s="5"/>
    </row>
    <row r="38" spans="1:9">
      <c r="A38" s="24"/>
      <c r="I38" s="5"/>
    </row>
    <row r="39" spans="1:9" ht="15.75" thickBot="1">
      <c r="A39" s="24"/>
      <c r="I39" s="5"/>
    </row>
    <row r="40" spans="1:9">
      <c r="A40" s="24"/>
      <c r="C40" s="141" t="str">
        <f>general!W2</f>
        <v>VERTIKALER BESCHLAG (VL)</v>
      </c>
      <c r="D40" s="142"/>
      <c r="E40" s="142"/>
      <c r="F40" s="142"/>
      <c r="G40" s="142"/>
      <c r="H40" s="142"/>
      <c r="I40" s="143"/>
    </row>
    <row r="41" spans="1:9" ht="15.75" thickBot="1">
      <c r="A41" s="24"/>
      <c r="C41" s="144"/>
      <c r="D41" s="145"/>
      <c r="E41" s="145"/>
      <c r="F41" s="145"/>
      <c r="G41" s="145"/>
      <c r="H41" s="145"/>
      <c r="I41" s="146"/>
    </row>
    <row r="42" spans="1:9" ht="15.75" thickBot="1">
      <c r="A42" s="24"/>
      <c r="C42" s="206" t="str">
        <f>general!$AG$101</f>
        <v>Bedienung</v>
      </c>
      <c r="D42" s="207"/>
      <c r="E42" s="141" t="str">
        <f>general!$AG$108</f>
        <v>Antrieb - rechts</v>
      </c>
      <c r="F42" s="142"/>
      <c r="G42" s="143"/>
      <c r="H42" s="212"/>
      <c r="I42" s="212"/>
    </row>
    <row r="43" spans="1:9" ht="15.75" thickBot="1">
      <c r="A43" s="24"/>
      <c r="C43" s="208"/>
      <c r="D43" s="209"/>
      <c r="E43" s="144"/>
      <c r="F43" s="145"/>
      <c r="G43" s="146"/>
      <c r="H43" s="212"/>
      <c r="I43" s="212"/>
    </row>
    <row r="44" spans="1:9" ht="15.75" thickBot="1">
      <c r="A44" s="24"/>
      <c r="C44" s="206" t="str">
        <f>general!$R$61</f>
        <v>Aufgestellt:</v>
      </c>
      <c r="D44" s="207"/>
      <c r="E44" s="205"/>
      <c r="F44" s="205"/>
      <c r="G44" s="205"/>
      <c r="H44" s="212"/>
      <c r="I44" s="212"/>
    </row>
    <row r="45" spans="1:9" ht="15.75" thickBot="1">
      <c r="A45" s="24"/>
      <c r="C45" s="208"/>
      <c r="D45" s="209"/>
      <c r="E45" s="205"/>
      <c r="F45" s="205"/>
      <c r="G45" s="205"/>
      <c r="H45" s="212"/>
      <c r="I45" s="212"/>
    </row>
    <row r="46" spans="1:9" ht="15.75" thickBot="1">
      <c r="A46" s="24"/>
      <c r="C46" s="206" t="str">
        <f>general!$T$61</f>
        <v>Bereinigt:</v>
      </c>
      <c r="D46" s="207"/>
      <c r="E46" s="205"/>
      <c r="F46" s="205"/>
      <c r="G46" s="205"/>
      <c r="H46" s="212"/>
      <c r="I46" s="212"/>
    </row>
    <row r="47" spans="1:9" ht="15.75" thickBot="1">
      <c r="A47" s="24"/>
      <c r="C47" s="208"/>
      <c r="D47" s="209"/>
      <c r="E47" s="205"/>
      <c r="F47" s="205"/>
      <c r="G47" s="205"/>
      <c r="H47" s="212"/>
      <c r="I47" s="212"/>
    </row>
    <row r="48" spans="1:9" ht="15.75" thickBot="1">
      <c r="A48" s="24"/>
      <c r="C48" s="206" t="str">
        <f>general!$Z$61</f>
        <v>Datum:</v>
      </c>
      <c r="D48" s="207"/>
      <c r="E48" s="210"/>
      <c r="F48" s="210"/>
      <c r="G48" s="210"/>
      <c r="H48" s="212"/>
      <c r="I48" s="212"/>
    </row>
    <row r="49" spans="1:9" ht="15.75" thickBot="1">
      <c r="A49" s="109"/>
      <c r="B49" s="1"/>
      <c r="C49" s="208"/>
      <c r="D49" s="209"/>
      <c r="E49" s="210"/>
      <c r="F49" s="210"/>
      <c r="G49" s="210"/>
      <c r="H49" s="212"/>
      <c r="I49" s="212"/>
    </row>
  </sheetData>
  <sheetProtection algorithmName="SHA-512" hashValue="f64KiVPe38G7H1Eycu+rQR9R5+dDTrWASFZRQuR/24tcE7hvvmyiPhJ6ET7NQ5o1/8cQWiqZ7cO1Sq3iQ8RnIQ==" saltValue="LkzK9rXjcnIKeyqFsVk2IQ==" spinCount="100000" sheet="1" objects="1" selectLockedCells="1"/>
  <mergeCells count="13">
    <mergeCell ref="E46:G47"/>
    <mergeCell ref="C48:D49"/>
    <mergeCell ref="E48:G49"/>
    <mergeCell ref="D3:D4"/>
    <mergeCell ref="B9:B12"/>
    <mergeCell ref="B21:B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A87C0-EC5F-4EC9-9609-1D3D4D21CD95}">
  <sheetPr codeName="List3"/>
  <dimension ref="A1:L49"/>
  <sheetViews>
    <sheetView showGridLines="0" view="pageBreakPreview" zoomScaleNormal="100" zoomScaleSheetLayoutView="100" workbookViewId="0">
      <selection activeCell="H42" sqref="H42:I49"/>
    </sheetView>
  </sheetViews>
  <sheetFormatPr baseColWidth="10" defaultColWidth="9.140625" defaultRowHeight="15"/>
  <sheetData>
    <row r="1" spans="1:9">
      <c r="A1" s="2"/>
      <c r="B1" s="6"/>
      <c r="C1" s="6"/>
      <c r="D1" s="6"/>
      <c r="E1" s="6"/>
      <c r="F1" s="6"/>
      <c r="G1" s="6"/>
      <c r="H1" s="6"/>
      <c r="I1" s="122"/>
    </row>
    <row r="2" spans="1:9">
      <c r="A2" s="24"/>
      <c r="I2" s="5"/>
    </row>
    <row r="3" spans="1:9">
      <c r="A3" s="24"/>
      <c r="C3" s="34"/>
      <c r="D3" s="34"/>
      <c r="F3" s="213"/>
      <c r="I3" s="5"/>
    </row>
    <row r="4" spans="1:9">
      <c r="A4" s="24"/>
      <c r="B4" s="123"/>
      <c r="F4" s="213"/>
      <c r="I4" s="5"/>
    </row>
    <row r="5" spans="1:9">
      <c r="A5" s="24"/>
      <c r="I5" s="5"/>
    </row>
    <row r="6" spans="1:9">
      <c r="A6" s="124"/>
      <c r="I6" s="5"/>
    </row>
    <row r="7" spans="1:9">
      <c r="A7" s="124"/>
      <c r="I7" s="5"/>
    </row>
    <row r="8" spans="1:9">
      <c r="A8" s="124"/>
      <c r="I8" s="5"/>
    </row>
    <row r="9" spans="1:9">
      <c r="A9" s="124"/>
      <c r="B9" s="31"/>
      <c r="H9" s="211"/>
      <c r="I9" s="5"/>
    </row>
    <row r="10" spans="1:9">
      <c r="A10" s="24"/>
      <c r="B10" s="31"/>
      <c r="H10" s="211"/>
      <c r="I10" s="5"/>
    </row>
    <row r="11" spans="1:9">
      <c r="A11" s="24"/>
      <c r="B11" s="31"/>
      <c r="H11" s="211"/>
      <c r="I11" s="5"/>
    </row>
    <row r="12" spans="1:9">
      <c r="A12" s="24"/>
      <c r="B12" s="31"/>
      <c r="H12" s="211"/>
      <c r="I12" s="5"/>
    </row>
    <row r="13" spans="1:9">
      <c r="A13" s="24"/>
      <c r="I13" s="5"/>
    </row>
    <row r="14" spans="1:9">
      <c r="A14" s="24"/>
      <c r="I14" s="5"/>
    </row>
    <row r="15" spans="1:9">
      <c r="A15" s="125"/>
      <c r="I15" s="5"/>
    </row>
    <row r="16" spans="1:9">
      <c r="A16" s="125"/>
      <c r="I16" s="5"/>
    </row>
    <row r="17" spans="1:9">
      <c r="A17" s="125"/>
      <c r="I17" s="5"/>
    </row>
    <row r="18" spans="1:9">
      <c r="A18" s="125"/>
      <c r="I18" s="5"/>
    </row>
    <row r="19" spans="1:9">
      <c r="A19" s="24"/>
      <c r="I19" s="5"/>
    </row>
    <row r="20" spans="1:9">
      <c r="A20" s="24"/>
      <c r="I20" s="5"/>
    </row>
    <row r="21" spans="1:9">
      <c r="A21" s="24"/>
      <c r="B21" s="31"/>
      <c r="H21" s="211"/>
      <c r="I21" s="5"/>
    </row>
    <row r="22" spans="1:9">
      <c r="A22" s="24"/>
      <c r="B22" s="31"/>
      <c r="H22" s="211"/>
      <c r="I22" s="5"/>
    </row>
    <row r="23" spans="1:9">
      <c r="A23" s="24"/>
      <c r="B23" s="31"/>
      <c r="H23" s="211"/>
      <c r="I23" s="5"/>
    </row>
    <row r="24" spans="1:9">
      <c r="A24" s="24"/>
      <c r="B24" s="31"/>
      <c r="H24" s="211"/>
      <c r="I24" s="5"/>
    </row>
    <row r="25" spans="1:9">
      <c r="A25" s="24"/>
      <c r="I25" s="5"/>
    </row>
    <row r="26" spans="1:9">
      <c r="A26" s="24"/>
      <c r="I26" s="5"/>
    </row>
    <row r="27" spans="1:9">
      <c r="A27" s="24"/>
      <c r="D27" s="34"/>
      <c r="G27" s="34"/>
      <c r="I27" s="5"/>
    </row>
    <row r="28" spans="1:9">
      <c r="A28" s="24"/>
      <c r="F28" s="34"/>
      <c r="I28" s="5"/>
    </row>
    <row r="29" spans="1:9">
      <c r="A29" s="24"/>
      <c r="I29" s="5"/>
    </row>
    <row r="30" spans="1:9">
      <c r="A30" s="24"/>
      <c r="D30" s="123"/>
      <c r="F30" s="123"/>
      <c r="I30" s="5"/>
    </row>
    <row r="31" spans="1:9">
      <c r="A31" s="24"/>
      <c r="I31" s="5"/>
    </row>
    <row r="32" spans="1:9">
      <c r="A32" s="24"/>
      <c r="E32" s="34"/>
      <c r="I32" s="5"/>
    </row>
    <row r="33" spans="1:12">
      <c r="A33" s="24"/>
      <c r="I33" s="5"/>
    </row>
    <row r="34" spans="1:12">
      <c r="A34" s="24"/>
      <c r="I34" s="5"/>
      <c r="L34" s="46"/>
    </row>
    <row r="35" spans="1:12">
      <c r="A35" s="24"/>
      <c r="I35" s="5"/>
    </row>
    <row r="36" spans="1:12">
      <c r="A36" s="24"/>
      <c r="I36" s="5"/>
    </row>
    <row r="37" spans="1:12">
      <c r="A37" s="24"/>
      <c r="I37" s="5"/>
    </row>
    <row r="38" spans="1:12">
      <c r="A38" s="24"/>
      <c r="I38" s="5"/>
    </row>
    <row r="39" spans="1:12" ht="15.75" thickBot="1">
      <c r="A39" s="24"/>
      <c r="I39" s="5"/>
    </row>
    <row r="40" spans="1:12">
      <c r="A40" s="24"/>
      <c r="C40" s="141" t="str">
        <f>general!W2</f>
        <v>VERTIKALER BESCHLAG (VL)</v>
      </c>
      <c r="D40" s="142"/>
      <c r="E40" s="142"/>
      <c r="F40" s="142"/>
      <c r="G40" s="142"/>
      <c r="H40" s="142"/>
      <c r="I40" s="143"/>
    </row>
    <row r="41" spans="1:12" ht="15.75" thickBot="1">
      <c r="A41" s="24"/>
      <c r="C41" s="144"/>
      <c r="D41" s="145"/>
      <c r="E41" s="145"/>
      <c r="F41" s="145"/>
      <c r="G41" s="145"/>
      <c r="H41" s="145"/>
      <c r="I41" s="146"/>
    </row>
    <row r="42" spans="1:12" ht="15.75" thickBot="1">
      <c r="A42" s="24"/>
      <c r="C42" s="206" t="str">
        <f>general!$AG$101</f>
        <v>Bedienung</v>
      </c>
      <c r="D42" s="207"/>
      <c r="E42" s="141" t="str">
        <f>general!$AG$107</f>
        <v>Antrieb - links</v>
      </c>
      <c r="F42" s="142"/>
      <c r="G42" s="143"/>
      <c r="H42" s="212"/>
      <c r="I42" s="212"/>
    </row>
    <row r="43" spans="1:12" ht="15.75" thickBot="1">
      <c r="A43" s="24"/>
      <c r="C43" s="208"/>
      <c r="D43" s="209"/>
      <c r="E43" s="144"/>
      <c r="F43" s="145"/>
      <c r="G43" s="146"/>
      <c r="H43" s="212"/>
      <c r="I43" s="212"/>
    </row>
    <row r="44" spans="1:12" ht="15.75" thickBot="1">
      <c r="A44" s="24"/>
      <c r="C44" s="206" t="str">
        <f>general!$R$61</f>
        <v>Aufgestellt:</v>
      </c>
      <c r="D44" s="207"/>
      <c r="E44" s="205"/>
      <c r="F44" s="205"/>
      <c r="G44" s="205"/>
      <c r="H44" s="212"/>
      <c r="I44" s="212"/>
    </row>
    <row r="45" spans="1:12" ht="15.75" thickBot="1">
      <c r="A45" s="24"/>
      <c r="C45" s="208"/>
      <c r="D45" s="209"/>
      <c r="E45" s="205"/>
      <c r="F45" s="205"/>
      <c r="G45" s="205"/>
      <c r="H45" s="212"/>
      <c r="I45" s="212"/>
    </row>
    <row r="46" spans="1:12" ht="15.75" thickBot="1">
      <c r="A46" s="24"/>
      <c r="C46" s="206" t="str">
        <f>general!$T$61</f>
        <v>Bereinigt:</v>
      </c>
      <c r="D46" s="207"/>
      <c r="E46" s="205"/>
      <c r="F46" s="205"/>
      <c r="G46" s="205"/>
      <c r="H46" s="212"/>
      <c r="I46" s="212"/>
    </row>
    <row r="47" spans="1:12" ht="15.75" thickBot="1">
      <c r="A47" s="24"/>
      <c r="C47" s="208"/>
      <c r="D47" s="209"/>
      <c r="E47" s="205"/>
      <c r="F47" s="205"/>
      <c r="G47" s="205"/>
      <c r="H47" s="212"/>
      <c r="I47" s="212"/>
    </row>
    <row r="48" spans="1:12" ht="15.75" thickBot="1">
      <c r="A48" s="24"/>
      <c r="C48" s="206" t="str">
        <f>general!$Z$61</f>
        <v>Datum:</v>
      </c>
      <c r="D48" s="207"/>
      <c r="E48" s="210"/>
      <c r="F48" s="210"/>
      <c r="G48" s="210"/>
      <c r="H48" s="212"/>
      <c r="I48" s="212"/>
    </row>
    <row r="49" spans="1:9" ht="15.75" thickBot="1">
      <c r="A49" s="109"/>
      <c r="B49" s="1"/>
      <c r="C49" s="208"/>
      <c r="D49" s="209"/>
      <c r="E49" s="210"/>
      <c r="F49" s="210"/>
      <c r="G49" s="210"/>
      <c r="H49" s="212"/>
      <c r="I49" s="212"/>
    </row>
  </sheetData>
  <sheetProtection algorithmName="SHA-512" hashValue="YRqEWG+dko7gm6FHYUtbSbo+zrl+amPH7c8U3yFRjyuQv/0IyxeEfFQU4W/zeyCfsVRH9YtdzOYQQHsfTwMpLw==" saltValue="DRi46OG2EOXahj7+mLHAfA==" spinCount="100000" sheet="1" objects="1" selectLockedCells="1"/>
  <mergeCells count="13">
    <mergeCell ref="E46:G47"/>
    <mergeCell ref="C48:D49"/>
    <mergeCell ref="E48:G49"/>
    <mergeCell ref="F3:F4"/>
    <mergeCell ref="H9:H12"/>
    <mergeCell ref="H21:H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28925-F3D4-4929-8489-043CF1D104A2}">
  <sheetPr codeName="List4"/>
  <dimension ref="A1:L49"/>
  <sheetViews>
    <sheetView showGridLines="0" view="pageBreakPreview" zoomScaleNormal="100" zoomScaleSheetLayoutView="100" workbookViewId="0">
      <selection activeCell="A48" sqref="A48"/>
    </sheetView>
  </sheetViews>
  <sheetFormatPr baseColWidth="10" defaultColWidth="9.140625" defaultRowHeight="15"/>
  <sheetData>
    <row r="1" spans="1:9">
      <c r="A1" s="2"/>
      <c r="B1" s="6"/>
      <c r="C1" s="6"/>
      <c r="D1" s="6"/>
      <c r="E1" s="6"/>
      <c r="F1" s="6"/>
      <c r="G1" s="6"/>
      <c r="H1" s="6"/>
      <c r="I1" s="122"/>
    </row>
    <row r="2" spans="1:9">
      <c r="A2" s="24"/>
      <c r="I2" s="5"/>
    </row>
    <row r="3" spans="1:9">
      <c r="A3" s="24"/>
      <c r="C3" s="34"/>
      <c r="D3" s="34"/>
      <c r="F3" s="213"/>
      <c r="I3" s="5"/>
    </row>
    <row r="4" spans="1:9">
      <c r="A4" s="24"/>
      <c r="B4" s="123"/>
      <c r="F4" s="213"/>
      <c r="I4" s="5"/>
    </row>
    <row r="5" spans="1:9">
      <c r="A5" s="24"/>
      <c r="I5" s="5"/>
    </row>
    <row r="6" spans="1:9">
      <c r="A6" s="124"/>
      <c r="I6" s="5"/>
    </row>
    <row r="7" spans="1:9">
      <c r="A7" s="124"/>
      <c r="I7" s="5"/>
    </row>
    <row r="8" spans="1:9">
      <c r="A8" s="124"/>
      <c r="I8" s="5"/>
    </row>
    <row r="9" spans="1:9">
      <c r="A9" s="124"/>
      <c r="B9" s="31"/>
      <c r="H9" s="211"/>
      <c r="I9" s="5"/>
    </row>
    <row r="10" spans="1:9">
      <c r="A10" s="24"/>
      <c r="B10" s="31"/>
      <c r="H10" s="211"/>
      <c r="I10" s="5"/>
    </row>
    <row r="11" spans="1:9">
      <c r="A11" s="24"/>
      <c r="B11" s="31"/>
      <c r="H11" s="211"/>
      <c r="I11" s="5"/>
    </row>
    <row r="12" spans="1:9">
      <c r="A12" s="24"/>
      <c r="B12" s="31"/>
      <c r="H12" s="211"/>
      <c r="I12" s="5"/>
    </row>
    <row r="13" spans="1:9">
      <c r="A13" s="24"/>
      <c r="I13" s="5"/>
    </row>
    <row r="14" spans="1:9">
      <c r="A14" s="24"/>
      <c r="I14" s="5"/>
    </row>
    <row r="15" spans="1:9">
      <c r="A15" s="125"/>
      <c r="I15" s="5"/>
    </row>
    <row r="16" spans="1:9">
      <c r="A16" s="125"/>
      <c r="I16" s="5"/>
    </row>
    <row r="17" spans="1:9">
      <c r="A17" s="125"/>
      <c r="I17" s="5"/>
    </row>
    <row r="18" spans="1:9">
      <c r="A18" s="125"/>
      <c r="I18" s="5"/>
    </row>
    <row r="19" spans="1:9">
      <c r="A19" s="24"/>
      <c r="I19" s="5"/>
    </row>
    <row r="20" spans="1:9">
      <c r="A20" s="24"/>
      <c r="I20" s="5"/>
    </row>
    <row r="21" spans="1:9">
      <c r="A21" s="24"/>
      <c r="B21" s="31"/>
      <c r="H21" s="211"/>
      <c r="I21" s="5"/>
    </row>
    <row r="22" spans="1:9">
      <c r="A22" s="24"/>
      <c r="B22" s="31"/>
      <c r="H22" s="211"/>
      <c r="I22" s="5"/>
    </row>
    <row r="23" spans="1:9">
      <c r="A23" s="24"/>
      <c r="B23" s="31"/>
      <c r="H23" s="211"/>
      <c r="I23" s="5"/>
    </row>
    <row r="24" spans="1:9">
      <c r="A24" s="24"/>
      <c r="B24" s="31"/>
      <c r="H24" s="211"/>
      <c r="I24" s="5"/>
    </row>
    <row r="25" spans="1:9">
      <c r="A25" s="24"/>
      <c r="I25" s="5"/>
    </row>
    <row r="26" spans="1:9">
      <c r="A26" s="24"/>
      <c r="I26" s="5"/>
    </row>
    <row r="27" spans="1:9">
      <c r="A27" s="24"/>
      <c r="D27" s="34"/>
      <c r="G27" s="34"/>
      <c r="I27" s="5"/>
    </row>
    <row r="28" spans="1:9">
      <c r="A28" s="24"/>
      <c r="F28" s="34"/>
      <c r="I28" s="5"/>
    </row>
    <row r="29" spans="1:9">
      <c r="A29" s="24"/>
      <c r="I29" s="5"/>
    </row>
    <row r="30" spans="1:9">
      <c r="A30" s="24"/>
      <c r="D30" s="123"/>
      <c r="F30" s="123"/>
      <c r="I30" s="5"/>
    </row>
    <row r="31" spans="1:9">
      <c r="A31" s="24"/>
      <c r="I31" s="5"/>
    </row>
    <row r="32" spans="1:9">
      <c r="A32" s="24"/>
      <c r="E32" s="34"/>
      <c r="I32" s="5"/>
    </row>
    <row r="33" spans="1:12">
      <c r="A33" s="24"/>
      <c r="I33" s="5"/>
    </row>
    <row r="34" spans="1:12">
      <c r="A34" s="24"/>
      <c r="I34" s="5"/>
      <c r="L34" s="46"/>
    </row>
    <row r="35" spans="1:12">
      <c r="A35" s="24"/>
      <c r="I35" s="5"/>
    </row>
    <row r="36" spans="1:12">
      <c r="A36" s="24"/>
      <c r="I36" s="5"/>
    </row>
    <row r="37" spans="1:12">
      <c r="A37" s="24"/>
      <c r="I37" s="5"/>
    </row>
    <row r="38" spans="1:12">
      <c r="A38" s="24"/>
      <c r="I38" s="5"/>
    </row>
    <row r="39" spans="1:12" ht="15.75" thickBot="1">
      <c r="A39" s="24"/>
      <c r="I39" s="5"/>
    </row>
    <row r="40" spans="1:12">
      <c r="A40" s="24"/>
      <c r="C40" s="141" t="str">
        <f>general!W2</f>
        <v>VERTIKALER BESCHLAG (VL)</v>
      </c>
      <c r="D40" s="142"/>
      <c r="E40" s="142"/>
      <c r="F40" s="142"/>
      <c r="G40" s="142"/>
      <c r="H40" s="142"/>
      <c r="I40" s="143"/>
    </row>
    <row r="41" spans="1:12" ht="15.75" thickBot="1">
      <c r="A41" s="24"/>
      <c r="C41" s="144"/>
      <c r="D41" s="145"/>
      <c r="E41" s="145"/>
      <c r="F41" s="145"/>
      <c r="G41" s="145"/>
      <c r="H41" s="145"/>
      <c r="I41" s="146"/>
    </row>
    <row r="42" spans="1:12" ht="15.75" thickBot="1">
      <c r="A42" s="24"/>
      <c r="C42" s="206" t="str">
        <f>general!$AG$106</f>
        <v>Antriebesposition</v>
      </c>
      <c r="D42" s="207"/>
      <c r="E42" s="141" t="str">
        <f>general!$AG$102</f>
        <v>hand</v>
      </c>
      <c r="F42" s="142"/>
      <c r="G42" s="143"/>
      <c r="H42" s="212"/>
      <c r="I42" s="212"/>
    </row>
    <row r="43" spans="1:12" ht="15.75" thickBot="1">
      <c r="A43" s="24"/>
      <c r="C43" s="208"/>
      <c r="D43" s="209"/>
      <c r="E43" s="144"/>
      <c r="F43" s="145"/>
      <c r="G43" s="146"/>
      <c r="H43" s="212"/>
      <c r="I43" s="212"/>
    </row>
    <row r="44" spans="1:12" ht="15.75" thickBot="1">
      <c r="A44" s="24"/>
      <c r="C44" s="206" t="str">
        <f>general!$R$61</f>
        <v>Aufgestellt:</v>
      </c>
      <c r="D44" s="207"/>
      <c r="E44" s="205"/>
      <c r="F44" s="205"/>
      <c r="G44" s="205"/>
      <c r="H44" s="212"/>
      <c r="I44" s="212"/>
    </row>
    <row r="45" spans="1:12" ht="15.75" thickBot="1">
      <c r="A45" s="24"/>
      <c r="C45" s="208"/>
      <c r="D45" s="209"/>
      <c r="E45" s="205"/>
      <c r="F45" s="205"/>
      <c r="G45" s="205"/>
      <c r="H45" s="212"/>
      <c r="I45" s="212"/>
    </row>
    <row r="46" spans="1:12" ht="15.75" thickBot="1">
      <c r="A46" s="24"/>
      <c r="C46" s="206" t="str">
        <f>general!$T$61</f>
        <v>Bereinigt:</v>
      </c>
      <c r="D46" s="207"/>
      <c r="E46" s="205"/>
      <c r="F46" s="205"/>
      <c r="G46" s="205"/>
      <c r="H46" s="212"/>
      <c r="I46" s="212"/>
    </row>
    <row r="47" spans="1:12" ht="15.75" thickBot="1">
      <c r="A47" s="24"/>
      <c r="C47" s="208"/>
      <c r="D47" s="209"/>
      <c r="E47" s="205"/>
      <c r="F47" s="205"/>
      <c r="G47" s="205"/>
      <c r="H47" s="212"/>
      <c r="I47" s="212"/>
    </row>
    <row r="48" spans="1:12" ht="15.75" thickBot="1">
      <c r="A48" s="24"/>
      <c r="C48" s="206" t="str">
        <f>general!$Z$61</f>
        <v>Datum:</v>
      </c>
      <c r="D48" s="207"/>
      <c r="E48" s="210"/>
      <c r="F48" s="210"/>
      <c r="G48" s="210"/>
      <c r="H48" s="212"/>
      <c r="I48" s="212"/>
    </row>
    <row r="49" spans="1:9" ht="15.75" thickBot="1">
      <c r="A49" s="109"/>
      <c r="B49" s="1"/>
      <c r="C49" s="208"/>
      <c r="D49" s="209"/>
      <c r="E49" s="210"/>
      <c r="F49" s="210"/>
      <c r="G49" s="210"/>
      <c r="H49" s="212"/>
      <c r="I49" s="212"/>
    </row>
  </sheetData>
  <sheetProtection algorithmName="SHA-512" hashValue="+5V9k1jgkQhosg+yJ51RM3GI4FLBb1dHYORJhh6bMfcx/n+z2ftPqqz4SowCAM0euxhm30+Kx1lchFQdRE9zRQ==" saltValue="jas5EcE2vy+QAWjQrWLlPw==" spinCount="100000" sheet="1" objects="1" scenarios="1"/>
  <mergeCells count="13">
    <mergeCell ref="E46:G47"/>
    <mergeCell ref="C48:D49"/>
    <mergeCell ref="E48:G49"/>
    <mergeCell ref="F3:F4"/>
    <mergeCell ref="H9:H12"/>
    <mergeCell ref="H21:H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18A-0BA7-4A11-B322-242DDE9A1423}">
  <sheetPr codeName="List5"/>
  <dimension ref="D6:AD163"/>
  <sheetViews>
    <sheetView topLeftCell="A4" zoomScaleNormal="100" workbookViewId="0">
      <selection activeCell="Y11" sqref="Y11"/>
    </sheetView>
  </sheetViews>
  <sheetFormatPr baseColWidth="10" defaultColWidth="9.140625" defaultRowHeight="15"/>
  <cols>
    <col min="20" max="20" width="11" customWidth="1"/>
    <col min="21" max="21" width="18.5703125" bestFit="1" customWidth="1"/>
    <col min="23" max="23" width="2.42578125" customWidth="1"/>
    <col min="24" max="24" width="19.7109375" customWidth="1"/>
    <col min="25" max="25" width="14.85546875" customWidth="1"/>
  </cols>
  <sheetData>
    <row r="6" spans="13:30">
      <c r="X6" s="215" t="s">
        <v>861</v>
      </c>
      <c r="Y6" s="216"/>
      <c r="Z6" s="216"/>
      <c r="AA6" s="216"/>
      <c r="AB6" s="216"/>
      <c r="AC6" s="216"/>
      <c r="AD6" s="217"/>
    </row>
    <row r="7" spans="13:30">
      <c r="X7" s="218"/>
      <c r="Y7" s="219"/>
      <c r="Z7" s="219"/>
      <c r="AA7" s="219"/>
      <c r="AB7" s="219"/>
      <c r="AC7" s="219"/>
      <c r="AD7" s="220"/>
    </row>
    <row r="8" spans="13:30">
      <c r="X8" s="218"/>
      <c r="Y8" s="219"/>
      <c r="Z8" s="219"/>
      <c r="AA8" s="219"/>
      <c r="AB8" s="219"/>
      <c r="AC8" s="219"/>
      <c r="AD8" s="220"/>
    </row>
    <row r="9" spans="13:30">
      <c r="X9" s="126"/>
      <c r="AD9" s="127"/>
    </row>
    <row r="10" spans="13:30">
      <c r="X10" s="126" t="s">
        <v>862</v>
      </c>
      <c r="Y10">
        <v>125</v>
      </c>
      <c r="AD10" s="127"/>
    </row>
    <row r="11" spans="13:30">
      <c r="X11" s="126" t="s">
        <v>863</v>
      </c>
      <c r="Y11">
        <v>375</v>
      </c>
      <c r="AD11" s="127"/>
    </row>
    <row r="12" spans="13:30">
      <c r="X12" s="126" t="s">
        <v>864</v>
      </c>
      <c r="Y12">
        <v>4500</v>
      </c>
      <c r="AD12" s="127"/>
    </row>
    <row r="13" spans="13:30">
      <c r="X13" s="126" t="s">
        <v>865</v>
      </c>
      <c r="Y13" t="str">
        <f>IF(OR(general!K3="",general!K7=""),"L+W+R ", X13 &amp; Y10+Y11+Y12)</f>
        <v xml:space="preserve">L+W+R </v>
      </c>
      <c r="AD13" s="127"/>
    </row>
    <row r="14" spans="13:30">
      <c r="X14" s="126" t="s">
        <v>866</v>
      </c>
      <c r="Y14" t="s">
        <v>867</v>
      </c>
      <c r="AD14" s="127"/>
    </row>
    <row r="15" spans="13:30">
      <c r="X15" s="126"/>
      <c r="AD15" s="127"/>
    </row>
    <row r="16" spans="13:30">
      <c r="M16" s="128"/>
      <c r="N16" s="128"/>
      <c r="O16" s="128"/>
      <c r="P16" s="128"/>
      <c r="Q16" s="128"/>
      <c r="R16" s="128"/>
      <c r="S16" s="128"/>
      <c r="T16" s="128"/>
      <c r="X16" s="129" t="s">
        <v>868</v>
      </c>
      <c r="Y16" t="str">
        <f>IF(general!K7="","",IF(general!K7=general!AG102,125,IF(OR(general!K7=general!AG105,general!K7=general!AG108),375,IF(OR(general!K7 =general!AG105,general!K7=general!AG108),375,125))))</f>
        <v/>
      </c>
      <c r="Z16" t="s">
        <v>869</v>
      </c>
      <c r="AA16" t="s">
        <v>870</v>
      </c>
      <c r="AD16" s="127"/>
    </row>
    <row r="17" spans="4:30">
      <c r="M17" s="128"/>
      <c r="N17" s="128"/>
      <c r="O17" s="128"/>
      <c r="P17" s="128"/>
      <c r="Q17" s="128"/>
      <c r="R17" s="128"/>
      <c r="S17" s="128"/>
      <c r="T17" s="128"/>
      <c r="X17" s="130" t="s">
        <v>871</v>
      </c>
      <c r="Y17" t="str">
        <f>IF(general!K7="","",IF(general!K7=general!AG102,125,IF(OR(general!K7=general!AG104,general!K7=general!AG107),375,IF(OR(general!K7=general!AG104,general!K7=general!AG107),375,125))))</f>
        <v/>
      </c>
      <c r="Z17" t="s">
        <v>872</v>
      </c>
      <c r="AA17" t="s">
        <v>873</v>
      </c>
      <c r="AD17" s="127"/>
    </row>
    <row r="18" spans="4:30">
      <c r="M18" s="128"/>
      <c r="N18" s="128"/>
      <c r="O18" s="128"/>
      <c r="P18" s="128"/>
      <c r="Q18" s="128"/>
      <c r="R18" s="128"/>
      <c r="S18" s="128"/>
      <c r="T18" s="128"/>
      <c r="X18" s="131" t="s">
        <v>874</v>
      </c>
      <c r="Y18" t="str">
        <f>IF(general!K11="","",IF(general!$K$11="2""",80,100))</f>
        <v/>
      </c>
      <c r="Z18" t="s">
        <v>875</v>
      </c>
      <c r="AA18" t="s">
        <v>876</v>
      </c>
      <c r="AD18" s="127"/>
    </row>
    <row r="19" spans="4:30">
      <c r="X19" s="126" t="s">
        <v>877</v>
      </c>
      <c r="Y19" t="str">
        <f>IF(OR(general!K7=general!AU3,general!K7=general!AU4,general!K7=general!AU2,general!K7=general!AU1),IF(OR(general!$K$11="2""",general!$K$11=""),100,120),"")</f>
        <v/>
      </c>
      <c r="Z19" t="s">
        <v>878</v>
      </c>
      <c r="AA19" t="s">
        <v>879</v>
      </c>
      <c r="AD19" s="127"/>
    </row>
    <row r="20" spans="4:30" ht="15" customHeight="1">
      <c r="D20" s="214" t="str">
        <f>general!AG108</f>
        <v>Antrieb - rechts</v>
      </c>
      <c r="E20" s="204"/>
      <c r="F20" s="204"/>
      <c r="G20" s="204"/>
      <c r="H20" s="204"/>
      <c r="I20" s="204"/>
      <c r="J20" s="204"/>
      <c r="X20" s="133" t="s">
        <v>880</v>
      </c>
      <c r="Y20" s="134" t="str">
        <f>IF(OR(general!K7=general!AU2,general!K7=general!AU5,general!K7=general!AU3,general!K7=general!AU1),IF(OR(general!$K$11="2""",general!$K$11=""),100,120),"")</f>
        <v/>
      </c>
      <c r="Z20" t="s">
        <v>881</v>
      </c>
      <c r="AA20" t="s">
        <v>882</v>
      </c>
      <c r="AD20" s="127"/>
    </row>
    <row r="21" spans="4:30">
      <c r="D21" s="214"/>
      <c r="E21" s="204"/>
      <c r="F21" s="204"/>
      <c r="G21" s="204"/>
      <c r="H21" s="204"/>
      <c r="I21" s="204"/>
      <c r="J21" s="204"/>
      <c r="X21" s="135"/>
      <c r="Y21" s="136" t="str">
        <f>IF(general!K5="","",IF(general!K5&lt;5500,160,200))</f>
        <v/>
      </c>
      <c r="Z21" s="136"/>
      <c r="AA21" s="136"/>
      <c r="AB21" s="136"/>
      <c r="AC21" s="136"/>
      <c r="AD21" s="137"/>
    </row>
    <row r="22" spans="4:30">
      <c r="D22" s="214"/>
      <c r="E22" s="204"/>
      <c r="F22" s="204"/>
      <c r="G22" s="204"/>
      <c r="H22" s="204"/>
      <c r="I22" s="204"/>
      <c r="J22" s="204"/>
      <c r="X22" t="s">
        <v>883</v>
      </c>
      <c r="Y22">
        <f>IF(general!$K$9=general!$AG$122,290,250)</f>
        <v>250</v>
      </c>
    </row>
    <row r="23" spans="4:30">
      <c r="D23" s="214"/>
      <c r="E23" s="204"/>
      <c r="F23" s="204"/>
      <c r="G23" s="204"/>
      <c r="H23" s="204"/>
      <c r="I23" s="204"/>
      <c r="J23" s="204"/>
      <c r="W23" s="138"/>
    </row>
    <row r="24" spans="4:30">
      <c r="D24" s="214"/>
      <c r="E24" s="204"/>
      <c r="F24" s="204"/>
      <c r="G24" s="204"/>
      <c r="H24" s="204"/>
      <c r="I24" s="204"/>
      <c r="J24" s="204"/>
    </row>
    <row r="25" spans="4:30">
      <c r="D25" s="214"/>
      <c r="E25" s="204"/>
      <c r="F25" s="204"/>
      <c r="G25" s="204"/>
      <c r="H25" s="204"/>
      <c r="I25" s="204"/>
      <c r="J25" s="204"/>
    </row>
    <row r="26" spans="4:30">
      <c r="D26" s="214"/>
      <c r="E26" s="204"/>
      <c r="F26" s="204"/>
      <c r="G26" s="204"/>
      <c r="H26" s="204"/>
      <c r="I26" s="204"/>
      <c r="J26" s="204"/>
    </row>
    <row r="27" spans="4:30">
      <c r="D27" s="214"/>
      <c r="E27" s="204"/>
      <c r="F27" s="204"/>
      <c r="G27" s="204"/>
      <c r="H27" s="204"/>
      <c r="I27" s="204"/>
      <c r="J27" s="204"/>
    </row>
    <row r="28" spans="4:30">
      <c r="D28" s="214"/>
      <c r="E28" s="204"/>
      <c r="F28" s="204"/>
      <c r="G28" s="204"/>
      <c r="H28" s="204"/>
      <c r="I28" s="204"/>
      <c r="J28" s="204"/>
      <c r="K28" s="139"/>
    </row>
    <row r="29" spans="4:30">
      <c r="D29" s="214"/>
      <c r="E29" s="204"/>
      <c r="F29" s="204"/>
      <c r="G29" s="204"/>
      <c r="H29" s="204"/>
      <c r="I29" s="204"/>
      <c r="J29" s="204"/>
    </row>
    <row r="30" spans="4:30">
      <c r="D30" s="214"/>
      <c r="E30" s="204"/>
      <c r="F30" s="204"/>
      <c r="G30" s="204"/>
      <c r="H30" s="204"/>
      <c r="I30" s="204"/>
      <c r="J30" s="204"/>
    </row>
    <row r="31" spans="4:30">
      <c r="D31" s="214"/>
      <c r="E31" s="204"/>
      <c r="F31" s="204"/>
      <c r="G31" s="204"/>
      <c r="H31" s="204"/>
      <c r="I31" s="204"/>
      <c r="J31" s="204"/>
    </row>
    <row r="32" spans="4:30">
      <c r="D32" s="214"/>
      <c r="E32" s="204"/>
      <c r="F32" s="204"/>
      <c r="G32" s="204"/>
      <c r="H32" s="204"/>
      <c r="I32" s="204"/>
      <c r="J32" s="204"/>
    </row>
    <row r="33" spans="4:10">
      <c r="D33" s="214"/>
      <c r="E33" s="204"/>
      <c r="F33" s="204"/>
      <c r="G33" s="204"/>
      <c r="H33" s="204"/>
      <c r="I33" s="204"/>
      <c r="J33" s="204"/>
    </row>
    <row r="34" spans="4:10">
      <c r="D34" s="214"/>
      <c r="E34" s="204"/>
      <c r="F34" s="204"/>
      <c r="G34" s="204"/>
      <c r="H34" s="204"/>
      <c r="I34" s="204"/>
      <c r="J34" s="204"/>
    </row>
    <row r="35" spans="4:10">
      <c r="D35" s="214"/>
      <c r="E35" s="204"/>
      <c r="F35" s="204"/>
      <c r="G35" s="204"/>
      <c r="H35" s="204"/>
      <c r="I35" s="204"/>
      <c r="J35" s="204"/>
    </row>
    <row r="36" spans="4:10">
      <c r="D36" s="214"/>
      <c r="E36" s="204"/>
      <c r="F36" s="204"/>
      <c r="G36" s="204"/>
      <c r="H36" s="204"/>
      <c r="I36" s="204"/>
      <c r="J36" s="204"/>
    </row>
    <row r="37" spans="4:10">
      <c r="D37" s="214"/>
      <c r="E37" s="204"/>
      <c r="F37" s="204"/>
      <c r="G37" s="204"/>
      <c r="H37" s="204"/>
      <c r="I37" s="204"/>
      <c r="J37" s="204"/>
    </row>
    <row r="38" spans="4:10">
      <c r="D38" s="214"/>
      <c r="E38" s="204"/>
      <c r="F38" s="204"/>
      <c r="G38" s="204"/>
      <c r="H38" s="204"/>
      <c r="I38" s="204"/>
      <c r="J38" s="204"/>
    </row>
    <row r="39" spans="4:10">
      <c r="D39" s="214"/>
      <c r="E39" s="204"/>
      <c r="F39" s="204"/>
      <c r="G39" s="204"/>
      <c r="H39" s="204"/>
      <c r="I39" s="204"/>
      <c r="J39" s="204"/>
    </row>
    <row r="40" spans="4:10">
      <c r="D40" s="214"/>
      <c r="E40" s="204"/>
      <c r="F40" s="204"/>
      <c r="G40" s="204"/>
      <c r="H40" s="204"/>
      <c r="I40" s="204"/>
      <c r="J40" s="204"/>
    </row>
    <row r="41" spans="4:10">
      <c r="D41" s="214"/>
      <c r="E41" s="204"/>
      <c r="F41" s="204"/>
      <c r="G41" s="204"/>
      <c r="H41" s="204"/>
      <c r="I41" s="204"/>
      <c r="J41" s="204"/>
    </row>
    <row r="42" spans="4:10">
      <c r="D42" s="214"/>
      <c r="E42" s="204"/>
      <c r="F42" s="204"/>
      <c r="G42" s="204"/>
      <c r="H42" s="204"/>
      <c r="I42" s="204"/>
      <c r="J42" s="204"/>
    </row>
    <row r="43" spans="4:10">
      <c r="D43" s="214"/>
      <c r="E43" s="204"/>
      <c r="F43" s="204"/>
      <c r="G43" s="204"/>
      <c r="H43" s="204"/>
      <c r="I43" s="204"/>
      <c r="J43" s="204"/>
    </row>
    <row r="44" spans="4:10">
      <c r="D44" s="214"/>
      <c r="E44" s="204"/>
      <c r="F44" s="204"/>
      <c r="G44" s="204"/>
      <c r="H44" s="204"/>
      <c r="I44" s="204"/>
      <c r="J44" s="204"/>
    </row>
    <row r="45" spans="4:10">
      <c r="D45" s="214"/>
      <c r="E45" s="204"/>
      <c r="F45" s="204"/>
      <c r="G45" s="204"/>
      <c r="H45" s="204"/>
      <c r="I45" s="204"/>
      <c r="J45" s="204"/>
    </row>
    <row r="46" spans="4:10">
      <c r="D46" s="214"/>
      <c r="E46" s="204"/>
      <c r="F46" s="204"/>
      <c r="G46" s="204"/>
      <c r="H46" s="204"/>
      <c r="I46" s="204"/>
      <c r="J46" s="204"/>
    </row>
    <row r="47" spans="4:10">
      <c r="D47" s="140"/>
    </row>
    <row r="48" spans="4:10">
      <c r="D48" s="140"/>
    </row>
    <row r="49" spans="4:10" ht="15" customHeight="1">
      <c r="D49" s="214" t="str">
        <f>general!AG107</f>
        <v>Antrieb - links</v>
      </c>
      <c r="E49" s="204"/>
      <c r="F49" s="204"/>
      <c r="G49" s="204"/>
      <c r="H49" s="204"/>
      <c r="I49" s="204"/>
      <c r="J49" s="204"/>
    </row>
    <row r="50" spans="4:10">
      <c r="D50" s="214"/>
      <c r="E50" s="204"/>
      <c r="F50" s="204"/>
      <c r="G50" s="204"/>
      <c r="H50" s="204"/>
      <c r="I50" s="204"/>
      <c r="J50" s="204"/>
    </row>
    <row r="51" spans="4:10">
      <c r="D51" s="214"/>
      <c r="E51" s="204"/>
      <c r="F51" s="204"/>
      <c r="G51" s="204"/>
      <c r="H51" s="204"/>
      <c r="I51" s="204"/>
      <c r="J51" s="204"/>
    </row>
    <row r="52" spans="4:10">
      <c r="D52" s="214"/>
      <c r="E52" s="204"/>
      <c r="F52" s="204"/>
      <c r="G52" s="204"/>
      <c r="H52" s="204"/>
      <c r="I52" s="204"/>
      <c r="J52" s="204"/>
    </row>
    <row r="53" spans="4:10">
      <c r="D53" s="214"/>
      <c r="E53" s="204"/>
      <c r="F53" s="204"/>
      <c r="G53" s="204"/>
      <c r="H53" s="204"/>
      <c r="I53" s="204"/>
      <c r="J53" s="204"/>
    </row>
    <row r="54" spans="4:10">
      <c r="D54" s="214"/>
      <c r="E54" s="204"/>
      <c r="F54" s="204"/>
      <c r="G54" s="204"/>
      <c r="H54" s="204"/>
      <c r="I54" s="204"/>
      <c r="J54" s="204"/>
    </row>
    <row r="55" spans="4:10">
      <c r="D55" s="214"/>
      <c r="E55" s="204"/>
      <c r="F55" s="204"/>
      <c r="G55" s="204"/>
      <c r="H55" s="204"/>
      <c r="I55" s="204"/>
      <c r="J55" s="204"/>
    </row>
    <row r="56" spans="4:10">
      <c r="D56" s="214"/>
      <c r="E56" s="204"/>
      <c r="F56" s="204"/>
      <c r="G56" s="204"/>
      <c r="H56" s="204"/>
      <c r="I56" s="204"/>
      <c r="J56" s="204"/>
    </row>
    <row r="57" spans="4:10">
      <c r="D57" s="214"/>
      <c r="E57" s="204"/>
      <c r="F57" s="204"/>
      <c r="G57" s="204"/>
      <c r="H57" s="204"/>
      <c r="I57" s="204"/>
      <c r="J57" s="204"/>
    </row>
    <row r="58" spans="4:10">
      <c r="D58" s="214"/>
      <c r="E58" s="204"/>
      <c r="F58" s="204"/>
      <c r="G58" s="204"/>
      <c r="H58" s="204"/>
      <c r="I58" s="204"/>
      <c r="J58" s="204"/>
    </row>
    <row r="59" spans="4:10">
      <c r="D59" s="214"/>
      <c r="E59" s="204"/>
      <c r="F59" s="204"/>
      <c r="G59" s="204"/>
      <c r="H59" s="204"/>
      <c r="I59" s="204"/>
      <c r="J59" s="204"/>
    </row>
    <row r="60" spans="4:10">
      <c r="D60" s="214"/>
      <c r="E60" s="204"/>
      <c r="F60" s="204"/>
      <c r="G60" s="204"/>
      <c r="H60" s="204"/>
      <c r="I60" s="204"/>
      <c r="J60" s="204"/>
    </row>
    <row r="61" spans="4:10">
      <c r="D61" s="214"/>
      <c r="E61" s="204"/>
      <c r="F61" s="204"/>
      <c r="G61" s="204"/>
      <c r="H61" s="204"/>
      <c r="I61" s="204"/>
      <c r="J61" s="204"/>
    </row>
    <row r="62" spans="4:10">
      <c r="D62" s="214"/>
      <c r="E62" s="204"/>
      <c r="F62" s="204"/>
      <c r="G62" s="204"/>
      <c r="H62" s="204"/>
      <c r="I62" s="204"/>
      <c r="J62" s="204"/>
    </row>
    <row r="63" spans="4:10">
      <c r="D63" s="214"/>
      <c r="E63" s="204"/>
      <c r="F63" s="204"/>
      <c r="G63" s="204"/>
      <c r="H63" s="204"/>
      <c r="I63" s="204"/>
      <c r="J63" s="204"/>
    </row>
    <row r="64" spans="4:10">
      <c r="D64" s="214"/>
      <c r="E64" s="204"/>
      <c r="F64" s="204"/>
      <c r="G64" s="204"/>
      <c r="H64" s="204"/>
      <c r="I64" s="204"/>
      <c r="J64" s="204"/>
    </row>
    <row r="65" spans="4:10">
      <c r="D65" s="214"/>
      <c r="E65" s="204"/>
      <c r="F65" s="204"/>
      <c r="G65" s="204"/>
      <c r="H65" s="204"/>
      <c r="I65" s="204"/>
      <c r="J65" s="204"/>
    </row>
    <row r="66" spans="4:10">
      <c r="D66" s="214"/>
      <c r="E66" s="204"/>
      <c r="F66" s="204"/>
      <c r="G66" s="204"/>
      <c r="H66" s="204"/>
      <c r="I66" s="204"/>
      <c r="J66" s="204"/>
    </row>
    <row r="67" spans="4:10">
      <c r="D67" s="214"/>
      <c r="E67" s="204"/>
      <c r="F67" s="204"/>
      <c r="G67" s="204"/>
      <c r="H67" s="204"/>
      <c r="I67" s="204"/>
      <c r="J67" s="204"/>
    </row>
    <row r="68" spans="4:10">
      <c r="D68" s="214"/>
      <c r="E68" s="204"/>
      <c r="F68" s="204"/>
      <c r="G68" s="204"/>
      <c r="H68" s="204"/>
      <c r="I68" s="204"/>
      <c r="J68" s="204"/>
    </row>
    <row r="69" spans="4:10">
      <c r="D69" s="214"/>
      <c r="E69" s="204"/>
      <c r="F69" s="204"/>
      <c r="G69" s="204"/>
      <c r="H69" s="204"/>
      <c r="I69" s="204"/>
      <c r="J69" s="204"/>
    </row>
    <row r="70" spans="4:10">
      <c r="D70" s="214"/>
      <c r="E70" s="204"/>
      <c r="F70" s="204"/>
      <c r="G70" s="204"/>
      <c r="H70" s="204"/>
      <c r="I70" s="204"/>
      <c r="J70" s="204"/>
    </row>
    <row r="71" spans="4:10">
      <c r="D71" s="214"/>
      <c r="E71" s="204"/>
      <c r="F71" s="204"/>
      <c r="G71" s="204"/>
      <c r="H71" s="204"/>
      <c r="I71" s="204"/>
      <c r="J71" s="204"/>
    </row>
    <row r="72" spans="4:10">
      <c r="D72" s="214"/>
      <c r="E72" s="204"/>
      <c r="F72" s="204"/>
      <c r="G72" s="204"/>
      <c r="H72" s="204"/>
      <c r="I72" s="204"/>
      <c r="J72" s="204"/>
    </row>
    <row r="73" spans="4:10">
      <c r="D73" s="214"/>
      <c r="E73" s="204"/>
      <c r="F73" s="204"/>
      <c r="G73" s="204"/>
      <c r="H73" s="204"/>
      <c r="I73" s="204"/>
      <c r="J73" s="204"/>
    </row>
    <row r="74" spans="4:10">
      <c r="D74" s="214"/>
      <c r="E74" s="204"/>
      <c r="F74" s="204"/>
      <c r="G74" s="204"/>
      <c r="H74" s="204"/>
      <c r="I74" s="204"/>
      <c r="J74" s="204"/>
    </row>
    <row r="75" spans="4:10">
      <c r="D75" s="214"/>
      <c r="E75" s="204"/>
      <c r="F75" s="204"/>
      <c r="G75" s="204"/>
      <c r="H75" s="204"/>
      <c r="I75" s="204"/>
      <c r="J75" s="204"/>
    </row>
    <row r="76" spans="4:10">
      <c r="D76" s="140"/>
    </row>
    <row r="77" spans="4:10">
      <c r="D77" s="140"/>
    </row>
    <row r="78" spans="4:10">
      <c r="D78" s="214" t="str">
        <f>general!AG102</f>
        <v>hand</v>
      </c>
      <c r="E78" s="204"/>
      <c r="F78" s="204"/>
      <c r="G78" s="204"/>
      <c r="H78" s="204"/>
      <c r="I78" s="204"/>
      <c r="J78" s="204"/>
    </row>
    <row r="79" spans="4:10">
      <c r="D79" s="214"/>
      <c r="E79" s="204"/>
      <c r="F79" s="204"/>
      <c r="G79" s="204"/>
      <c r="H79" s="204"/>
      <c r="I79" s="204"/>
      <c r="J79" s="204"/>
    </row>
    <row r="80" spans="4:10">
      <c r="D80" s="214"/>
      <c r="E80" s="204"/>
      <c r="F80" s="204"/>
      <c r="G80" s="204"/>
      <c r="H80" s="204"/>
      <c r="I80" s="204"/>
      <c r="J80" s="204"/>
    </row>
    <row r="81" spans="4:10">
      <c r="D81" s="214"/>
      <c r="E81" s="204"/>
      <c r="F81" s="204"/>
      <c r="G81" s="204"/>
      <c r="H81" s="204"/>
      <c r="I81" s="204"/>
      <c r="J81" s="204"/>
    </row>
    <row r="82" spans="4:10">
      <c r="D82" s="214"/>
      <c r="E82" s="204"/>
      <c r="F82" s="204"/>
      <c r="G82" s="204"/>
      <c r="H82" s="204"/>
      <c r="I82" s="204"/>
      <c r="J82" s="204"/>
    </row>
    <row r="83" spans="4:10">
      <c r="D83" s="214"/>
      <c r="E83" s="204"/>
      <c r="F83" s="204"/>
      <c r="G83" s="204"/>
      <c r="H83" s="204"/>
      <c r="I83" s="204"/>
      <c r="J83" s="204"/>
    </row>
    <row r="84" spans="4:10">
      <c r="D84" s="214"/>
      <c r="E84" s="204"/>
      <c r="F84" s="204"/>
      <c r="G84" s="204"/>
      <c r="H84" s="204"/>
      <c r="I84" s="204"/>
      <c r="J84" s="204"/>
    </row>
    <row r="85" spans="4:10">
      <c r="D85" s="214"/>
      <c r="E85" s="204"/>
      <c r="F85" s="204"/>
      <c r="G85" s="204"/>
      <c r="H85" s="204"/>
      <c r="I85" s="204"/>
      <c r="J85" s="204"/>
    </row>
    <row r="86" spans="4:10">
      <c r="D86" s="214"/>
      <c r="E86" s="204"/>
      <c r="F86" s="204"/>
      <c r="G86" s="204"/>
      <c r="H86" s="204"/>
      <c r="I86" s="204"/>
      <c r="J86" s="204"/>
    </row>
    <row r="87" spans="4:10">
      <c r="D87" s="214"/>
      <c r="E87" s="204"/>
      <c r="F87" s="204"/>
      <c r="G87" s="204"/>
      <c r="H87" s="204"/>
      <c r="I87" s="204"/>
      <c r="J87" s="204"/>
    </row>
    <row r="88" spans="4:10">
      <c r="D88" s="214"/>
      <c r="E88" s="204"/>
      <c r="F88" s="204"/>
      <c r="G88" s="204"/>
      <c r="H88" s="204"/>
      <c r="I88" s="204"/>
      <c r="J88" s="204"/>
    </row>
    <row r="89" spans="4:10">
      <c r="D89" s="214"/>
      <c r="E89" s="204"/>
      <c r="F89" s="204"/>
      <c r="G89" s="204"/>
      <c r="H89" s="204"/>
      <c r="I89" s="204"/>
      <c r="J89" s="204"/>
    </row>
    <row r="90" spans="4:10">
      <c r="D90" s="214"/>
      <c r="E90" s="204"/>
      <c r="F90" s="204"/>
      <c r="G90" s="204"/>
      <c r="H90" s="204"/>
      <c r="I90" s="204"/>
      <c r="J90" s="204"/>
    </row>
    <row r="91" spans="4:10">
      <c r="D91" s="214"/>
      <c r="E91" s="204"/>
      <c r="F91" s="204"/>
      <c r="G91" s="204"/>
      <c r="H91" s="204"/>
      <c r="I91" s="204"/>
      <c r="J91" s="204"/>
    </row>
    <row r="92" spans="4:10">
      <c r="D92" s="214"/>
      <c r="E92" s="204"/>
      <c r="F92" s="204"/>
      <c r="G92" s="204"/>
      <c r="H92" s="204"/>
      <c r="I92" s="204"/>
      <c r="J92" s="204"/>
    </row>
    <row r="93" spans="4:10">
      <c r="D93" s="214"/>
      <c r="E93" s="204"/>
      <c r="F93" s="204"/>
      <c r="G93" s="204"/>
      <c r="H93" s="204"/>
      <c r="I93" s="204"/>
      <c r="J93" s="204"/>
    </row>
    <row r="94" spans="4:10">
      <c r="D94" s="214"/>
      <c r="E94" s="204"/>
      <c r="F94" s="204"/>
      <c r="G94" s="204"/>
      <c r="H94" s="204"/>
      <c r="I94" s="204"/>
      <c r="J94" s="204"/>
    </row>
    <row r="95" spans="4:10">
      <c r="D95" s="214"/>
      <c r="E95" s="204"/>
      <c r="F95" s="204"/>
      <c r="G95" s="204"/>
      <c r="H95" s="204"/>
      <c r="I95" s="204"/>
      <c r="J95" s="204"/>
    </row>
    <row r="96" spans="4:10">
      <c r="D96" s="214"/>
      <c r="E96" s="204"/>
      <c r="F96" s="204"/>
      <c r="G96" s="204"/>
      <c r="H96" s="204"/>
      <c r="I96" s="204"/>
      <c r="J96" s="204"/>
    </row>
    <row r="97" spans="4:10">
      <c r="D97" s="214"/>
      <c r="E97" s="204"/>
      <c r="F97" s="204"/>
      <c r="G97" s="204"/>
      <c r="H97" s="204"/>
      <c r="I97" s="204"/>
      <c r="J97" s="204"/>
    </row>
    <row r="98" spans="4:10">
      <c r="D98" s="214"/>
      <c r="E98" s="204"/>
      <c r="F98" s="204"/>
      <c r="G98" s="204"/>
      <c r="H98" s="204"/>
      <c r="I98" s="204"/>
      <c r="J98" s="204"/>
    </row>
    <row r="99" spans="4:10">
      <c r="D99" s="214"/>
      <c r="E99" s="204"/>
      <c r="F99" s="204"/>
      <c r="G99" s="204"/>
      <c r="H99" s="204"/>
      <c r="I99" s="204"/>
      <c r="J99" s="204"/>
    </row>
    <row r="100" spans="4:10">
      <c r="D100" s="214"/>
      <c r="E100" s="204"/>
      <c r="F100" s="204"/>
      <c r="G100" s="204"/>
      <c r="H100" s="204"/>
      <c r="I100" s="204"/>
      <c r="J100" s="204"/>
    </row>
    <row r="101" spans="4:10">
      <c r="D101" s="214"/>
      <c r="E101" s="204"/>
      <c r="F101" s="204"/>
      <c r="G101" s="204"/>
      <c r="H101" s="204"/>
      <c r="I101" s="204"/>
      <c r="J101" s="204"/>
    </row>
    <row r="102" spans="4:10">
      <c r="D102" s="214"/>
      <c r="E102" s="204"/>
      <c r="F102" s="204"/>
      <c r="G102" s="204"/>
      <c r="H102" s="204"/>
      <c r="I102" s="204"/>
      <c r="J102" s="204"/>
    </row>
    <row r="103" spans="4:10">
      <c r="D103" s="214"/>
      <c r="E103" s="204"/>
      <c r="F103" s="204"/>
      <c r="G103" s="204"/>
      <c r="H103" s="204"/>
      <c r="I103" s="204"/>
      <c r="J103" s="204"/>
    </row>
    <row r="104" spans="4:10">
      <c r="D104" s="214"/>
      <c r="E104" s="204"/>
      <c r="F104" s="204"/>
      <c r="G104" s="204"/>
      <c r="H104" s="204"/>
      <c r="I104" s="204"/>
      <c r="J104" s="204"/>
    </row>
    <row r="107" spans="4:10">
      <c r="D107" s="214" t="str">
        <f>general!AG104</f>
        <v>Haspelkette - links</v>
      </c>
      <c r="E107" s="204"/>
      <c r="F107" s="204"/>
      <c r="G107" s="204"/>
      <c r="H107" s="204"/>
      <c r="I107" s="204"/>
      <c r="J107" s="204"/>
    </row>
    <row r="108" spans="4:10">
      <c r="D108" s="214"/>
      <c r="E108" s="204"/>
      <c r="F108" s="204"/>
      <c r="G108" s="204"/>
      <c r="H108" s="204"/>
      <c r="I108" s="204"/>
      <c r="J108" s="204"/>
    </row>
    <row r="109" spans="4:10">
      <c r="D109" s="214"/>
      <c r="E109" s="204"/>
      <c r="F109" s="204"/>
      <c r="G109" s="204"/>
      <c r="H109" s="204"/>
      <c r="I109" s="204"/>
      <c r="J109" s="204"/>
    </row>
    <row r="110" spans="4:10">
      <c r="D110" s="214"/>
      <c r="E110" s="204"/>
      <c r="F110" s="204"/>
      <c r="G110" s="204"/>
      <c r="H110" s="204"/>
      <c r="I110" s="204"/>
      <c r="J110" s="204"/>
    </row>
    <row r="111" spans="4:10">
      <c r="D111" s="214"/>
      <c r="E111" s="204"/>
      <c r="F111" s="204"/>
      <c r="G111" s="204"/>
      <c r="H111" s="204"/>
      <c r="I111" s="204"/>
      <c r="J111" s="204"/>
    </row>
    <row r="112" spans="4:10">
      <c r="D112" s="214"/>
      <c r="E112" s="204"/>
      <c r="F112" s="204"/>
      <c r="G112" s="204"/>
      <c r="H112" s="204"/>
      <c r="I112" s="204"/>
      <c r="J112" s="204"/>
    </row>
    <row r="113" spans="4:10">
      <c r="D113" s="214"/>
      <c r="E113" s="204"/>
      <c r="F113" s="204"/>
      <c r="G113" s="204"/>
      <c r="H113" s="204"/>
      <c r="I113" s="204"/>
      <c r="J113" s="204"/>
    </row>
    <row r="114" spans="4:10">
      <c r="D114" s="214"/>
      <c r="E114" s="204"/>
      <c r="F114" s="204"/>
      <c r="G114" s="204"/>
      <c r="H114" s="204"/>
      <c r="I114" s="204"/>
      <c r="J114" s="204"/>
    </row>
    <row r="115" spans="4:10">
      <c r="D115" s="214"/>
      <c r="E115" s="204"/>
      <c r="F115" s="204"/>
      <c r="G115" s="204"/>
      <c r="H115" s="204"/>
      <c r="I115" s="204"/>
      <c r="J115" s="204"/>
    </row>
    <row r="116" spans="4:10">
      <c r="D116" s="214"/>
      <c r="E116" s="204"/>
      <c r="F116" s="204"/>
      <c r="G116" s="204"/>
      <c r="H116" s="204"/>
      <c r="I116" s="204"/>
      <c r="J116" s="204"/>
    </row>
    <row r="117" spans="4:10">
      <c r="D117" s="214"/>
      <c r="E117" s="204"/>
      <c r="F117" s="204"/>
      <c r="G117" s="204"/>
      <c r="H117" s="204"/>
      <c r="I117" s="204"/>
      <c r="J117" s="204"/>
    </row>
    <row r="118" spans="4:10">
      <c r="D118" s="214"/>
      <c r="E118" s="204"/>
      <c r="F118" s="204"/>
      <c r="G118" s="204"/>
      <c r="H118" s="204"/>
      <c r="I118" s="204"/>
      <c r="J118" s="204"/>
    </row>
    <row r="119" spans="4:10">
      <c r="D119" s="214"/>
      <c r="E119" s="204"/>
      <c r="F119" s="204"/>
      <c r="G119" s="204"/>
      <c r="H119" s="204"/>
      <c r="I119" s="204"/>
      <c r="J119" s="204"/>
    </row>
    <row r="120" spans="4:10">
      <c r="D120" s="214"/>
      <c r="E120" s="204"/>
      <c r="F120" s="204"/>
      <c r="G120" s="204"/>
      <c r="H120" s="204"/>
      <c r="I120" s="204"/>
      <c r="J120" s="204"/>
    </row>
    <row r="121" spans="4:10">
      <c r="D121" s="214"/>
      <c r="E121" s="204"/>
      <c r="F121" s="204"/>
      <c r="G121" s="204"/>
      <c r="H121" s="204"/>
      <c r="I121" s="204"/>
      <c r="J121" s="204"/>
    </row>
    <row r="122" spans="4:10">
      <c r="D122" s="214"/>
      <c r="E122" s="204"/>
      <c r="F122" s="204"/>
      <c r="G122" s="204"/>
      <c r="H122" s="204"/>
      <c r="I122" s="204"/>
      <c r="J122" s="204"/>
    </row>
    <row r="123" spans="4:10">
      <c r="D123" s="214"/>
      <c r="E123" s="204"/>
      <c r="F123" s="204"/>
      <c r="G123" s="204"/>
      <c r="H123" s="204"/>
      <c r="I123" s="204"/>
      <c r="J123" s="204"/>
    </row>
    <row r="124" spans="4:10">
      <c r="D124" s="214"/>
      <c r="E124" s="204"/>
      <c r="F124" s="204"/>
      <c r="G124" s="204"/>
      <c r="H124" s="204"/>
      <c r="I124" s="204"/>
      <c r="J124" s="204"/>
    </row>
    <row r="125" spans="4:10">
      <c r="D125" s="214"/>
      <c r="E125" s="204"/>
      <c r="F125" s="204"/>
      <c r="G125" s="204"/>
      <c r="H125" s="204"/>
      <c r="I125" s="204"/>
      <c r="J125" s="204"/>
    </row>
    <row r="126" spans="4:10">
      <c r="D126" s="214"/>
      <c r="E126" s="204"/>
      <c r="F126" s="204"/>
      <c r="G126" s="204"/>
      <c r="H126" s="204"/>
      <c r="I126" s="204"/>
      <c r="J126" s="204"/>
    </row>
    <row r="127" spans="4:10">
      <c r="D127" s="214"/>
      <c r="E127" s="204"/>
      <c r="F127" s="204"/>
      <c r="G127" s="204"/>
      <c r="H127" s="204"/>
      <c r="I127" s="204"/>
      <c r="J127" s="204"/>
    </row>
    <row r="128" spans="4:10">
      <c r="D128" s="214"/>
      <c r="E128" s="204"/>
      <c r="F128" s="204"/>
      <c r="G128" s="204"/>
      <c r="H128" s="204"/>
      <c r="I128" s="204"/>
      <c r="J128" s="204"/>
    </row>
    <row r="129" spans="4:10">
      <c r="D129" s="214"/>
      <c r="E129" s="204"/>
      <c r="F129" s="204"/>
      <c r="G129" s="204"/>
      <c r="H129" s="204"/>
      <c r="I129" s="204"/>
      <c r="J129" s="204"/>
    </row>
    <row r="130" spans="4:10">
      <c r="D130" s="214"/>
      <c r="E130" s="204"/>
      <c r="F130" s="204"/>
      <c r="G130" s="204"/>
      <c r="H130" s="204"/>
      <c r="I130" s="204"/>
      <c r="J130" s="204"/>
    </row>
    <row r="131" spans="4:10">
      <c r="D131" s="214"/>
      <c r="E131" s="204"/>
      <c r="F131" s="204"/>
      <c r="G131" s="204"/>
      <c r="H131" s="204"/>
      <c r="I131" s="204"/>
      <c r="J131" s="204"/>
    </row>
    <row r="132" spans="4:10">
      <c r="D132" s="214"/>
      <c r="E132" s="204"/>
      <c r="F132" s="204"/>
      <c r="G132" s="204"/>
      <c r="H132" s="204"/>
      <c r="I132" s="204"/>
      <c r="J132" s="204"/>
    </row>
    <row r="133" spans="4:10">
      <c r="D133" s="214"/>
      <c r="E133" s="204"/>
      <c r="F133" s="204"/>
      <c r="G133" s="204"/>
      <c r="H133" s="204"/>
      <c r="I133" s="204"/>
      <c r="J133" s="204"/>
    </row>
    <row r="134" spans="4:10">
      <c r="D134" s="132"/>
      <c r="E134" s="4"/>
      <c r="F134" s="4"/>
      <c r="G134" s="4"/>
      <c r="H134" s="4"/>
      <c r="I134" s="4"/>
      <c r="J134" s="4"/>
    </row>
    <row r="137" spans="4:10">
      <c r="D137" s="214" t="str">
        <f>general!AG105</f>
        <v>Haspelkette - rechts</v>
      </c>
      <c r="E137" s="204"/>
      <c r="F137" s="204"/>
      <c r="G137" s="204"/>
      <c r="H137" s="204"/>
      <c r="I137" s="204"/>
      <c r="J137" s="204"/>
    </row>
    <row r="138" spans="4:10">
      <c r="D138" s="214"/>
      <c r="E138" s="204"/>
      <c r="F138" s="204"/>
      <c r="G138" s="204"/>
      <c r="H138" s="204"/>
      <c r="I138" s="204"/>
      <c r="J138" s="204"/>
    </row>
    <row r="139" spans="4:10">
      <c r="D139" s="214"/>
      <c r="E139" s="204"/>
      <c r="F139" s="204"/>
      <c r="G139" s="204"/>
      <c r="H139" s="204"/>
      <c r="I139" s="204"/>
      <c r="J139" s="204"/>
    </row>
    <row r="140" spans="4:10">
      <c r="D140" s="214"/>
      <c r="E140" s="204"/>
      <c r="F140" s="204"/>
      <c r="G140" s="204"/>
      <c r="H140" s="204"/>
      <c r="I140" s="204"/>
      <c r="J140" s="204"/>
    </row>
    <row r="141" spans="4:10">
      <c r="D141" s="214"/>
      <c r="E141" s="204"/>
      <c r="F141" s="204"/>
      <c r="G141" s="204"/>
      <c r="H141" s="204"/>
      <c r="I141" s="204"/>
      <c r="J141" s="204"/>
    </row>
    <row r="142" spans="4:10">
      <c r="D142" s="214"/>
      <c r="E142" s="204"/>
      <c r="F142" s="204"/>
      <c r="G142" s="204"/>
      <c r="H142" s="204"/>
      <c r="I142" s="204"/>
      <c r="J142" s="204"/>
    </row>
    <row r="143" spans="4:10">
      <c r="D143" s="214"/>
      <c r="E143" s="204"/>
      <c r="F143" s="204"/>
      <c r="G143" s="204"/>
      <c r="H143" s="204"/>
      <c r="I143" s="204"/>
      <c r="J143" s="204"/>
    </row>
    <row r="144" spans="4:10">
      <c r="D144" s="214"/>
      <c r="E144" s="204"/>
      <c r="F144" s="204"/>
      <c r="G144" s="204"/>
      <c r="H144" s="204"/>
      <c r="I144" s="204"/>
      <c r="J144" s="204"/>
    </row>
    <row r="145" spans="4:10">
      <c r="D145" s="214"/>
      <c r="E145" s="204"/>
      <c r="F145" s="204"/>
      <c r="G145" s="204"/>
      <c r="H145" s="204"/>
      <c r="I145" s="204"/>
      <c r="J145" s="204"/>
    </row>
    <row r="146" spans="4:10">
      <c r="D146" s="214"/>
      <c r="E146" s="204"/>
      <c r="F146" s="204"/>
      <c r="G146" s="204"/>
      <c r="H146" s="204"/>
      <c r="I146" s="204"/>
      <c r="J146" s="204"/>
    </row>
    <row r="147" spans="4:10">
      <c r="D147" s="214"/>
      <c r="E147" s="204"/>
      <c r="F147" s="204"/>
      <c r="G147" s="204"/>
      <c r="H147" s="204"/>
      <c r="I147" s="204"/>
      <c r="J147" s="204"/>
    </row>
    <row r="148" spans="4:10">
      <c r="D148" s="214"/>
      <c r="E148" s="204"/>
      <c r="F148" s="204"/>
      <c r="G148" s="204"/>
      <c r="H148" s="204"/>
      <c r="I148" s="204"/>
      <c r="J148" s="204"/>
    </row>
    <row r="149" spans="4:10">
      <c r="D149" s="214"/>
      <c r="E149" s="204"/>
      <c r="F149" s="204"/>
      <c r="G149" s="204"/>
      <c r="H149" s="204"/>
      <c r="I149" s="204"/>
      <c r="J149" s="204"/>
    </row>
    <row r="150" spans="4:10">
      <c r="D150" s="214"/>
      <c r="E150" s="204"/>
      <c r="F150" s="204"/>
      <c r="G150" s="204"/>
      <c r="H150" s="204"/>
      <c r="I150" s="204"/>
      <c r="J150" s="204"/>
    </row>
    <row r="151" spans="4:10">
      <c r="D151" s="214"/>
      <c r="E151" s="204"/>
      <c r="F151" s="204"/>
      <c r="G151" s="204"/>
      <c r="H151" s="204"/>
      <c r="I151" s="204"/>
      <c r="J151" s="204"/>
    </row>
    <row r="152" spans="4:10">
      <c r="D152" s="214"/>
      <c r="E152" s="204"/>
      <c r="F152" s="204"/>
      <c r="G152" s="204"/>
      <c r="H152" s="204"/>
      <c r="I152" s="204"/>
      <c r="J152" s="204"/>
    </row>
    <row r="153" spans="4:10">
      <c r="D153" s="214"/>
      <c r="E153" s="204"/>
      <c r="F153" s="204"/>
      <c r="G153" s="204"/>
      <c r="H153" s="204"/>
      <c r="I153" s="204"/>
      <c r="J153" s="204"/>
    </row>
    <row r="154" spans="4:10">
      <c r="D154" s="214"/>
      <c r="E154" s="204"/>
      <c r="F154" s="204"/>
      <c r="G154" s="204"/>
      <c r="H154" s="204"/>
      <c r="I154" s="204"/>
      <c r="J154" s="204"/>
    </row>
    <row r="155" spans="4:10">
      <c r="D155" s="214"/>
      <c r="E155" s="204"/>
      <c r="F155" s="204"/>
      <c r="G155" s="204"/>
      <c r="H155" s="204"/>
      <c r="I155" s="204"/>
      <c r="J155" s="204"/>
    </row>
    <row r="156" spans="4:10">
      <c r="D156" s="214"/>
      <c r="E156" s="204"/>
      <c r="F156" s="204"/>
      <c r="G156" s="204"/>
      <c r="H156" s="204"/>
      <c r="I156" s="204"/>
      <c r="J156" s="204"/>
    </row>
    <row r="157" spans="4:10">
      <c r="D157" s="214"/>
      <c r="E157" s="204"/>
      <c r="F157" s="204"/>
      <c r="G157" s="204"/>
      <c r="H157" s="204"/>
      <c r="I157" s="204"/>
      <c r="J157" s="204"/>
    </row>
    <row r="158" spans="4:10">
      <c r="D158" s="214"/>
      <c r="E158" s="204"/>
      <c r="F158" s="204"/>
      <c r="G158" s="204"/>
      <c r="H158" s="204"/>
      <c r="I158" s="204"/>
      <c r="J158" s="204"/>
    </row>
    <row r="159" spans="4:10">
      <c r="D159" s="214"/>
      <c r="E159" s="204"/>
      <c r="F159" s="204"/>
      <c r="G159" s="204"/>
      <c r="H159" s="204"/>
      <c r="I159" s="204"/>
      <c r="J159" s="204"/>
    </row>
    <row r="160" spans="4:10">
      <c r="D160" s="214"/>
      <c r="E160" s="204"/>
      <c r="F160" s="204"/>
      <c r="G160" s="204"/>
      <c r="H160" s="204"/>
      <c r="I160" s="204"/>
      <c r="J160" s="204"/>
    </row>
    <row r="161" spans="4:10">
      <c r="D161" s="214"/>
      <c r="E161" s="204"/>
      <c r="F161" s="204"/>
      <c r="G161" s="204"/>
      <c r="H161" s="204"/>
      <c r="I161" s="204"/>
      <c r="J161" s="204"/>
    </row>
    <row r="162" spans="4:10">
      <c r="D162" s="214"/>
      <c r="E162" s="204"/>
      <c r="F162" s="204"/>
      <c r="G162" s="204"/>
      <c r="H162" s="204"/>
      <c r="I162" s="204"/>
      <c r="J162" s="204"/>
    </row>
    <row r="163" spans="4:10">
      <c r="D163" s="214"/>
      <c r="E163" s="204"/>
      <c r="F163" s="204"/>
      <c r="G163" s="204"/>
      <c r="H163" s="204"/>
      <c r="I163" s="204"/>
      <c r="J163" s="204"/>
    </row>
  </sheetData>
  <mergeCells count="11">
    <mergeCell ref="D107:D133"/>
    <mergeCell ref="E107:J133"/>
    <mergeCell ref="D137:D163"/>
    <mergeCell ref="E137:J163"/>
    <mergeCell ref="X6:AD8"/>
    <mergeCell ref="D20:D46"/>
    <mergeCell ref="E20:J46"/>
    <mergeCell ref="D49:D75"/>
    <mergeCell ref="E49:J75"/>
    <mergeCell ref="D78:D104"/>
    <mergeCell ref="E78:J104"/>
  </mergeCells>
  <dataValidations count="1">
    <dataValidation type="list" allowBlank="1" showInputMessage="1" showErrorMessage="1" sqref="M16:T18" xr:uid="{2DF56F23-7890-4736-A38F-EBCC57A8CB64}">
      <formula1>$Y$8:$Y$9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general</vt:lpstr>
      <vt:lpstr>SW-R</vt:lpstr>
      <vt:lpstr>SW-L</vt:lpstr>
      <vt:lpstr>Manuallly_operated</vt:lpstr>
      <vt:lpstr>Obrázky</vt:lpstr>
      <vt:lpstr>general!Druckbereich</vt:lpstr>
      <vt:lpstr>'SW-L'!Druckbereich</vt:lpstr>
      <vt:lpstr>'SW-R'!Druckbereich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2023-11-01T13:28:05Z</dcterms:created>
  <dcterms:modified xsi:type="dcterms:W3CDTF">2024-07-10T07:36:01Z</dcterms:modified>
</cp:coreProperties>
</file>