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30D5AB87-6937-4FED-99B5-B6A8DA85EDFC}" xr6:coauthVersionLast="47" xr6:coauthVersionMax="47" xr10:uidLastSave="{00000000-0000-0000-0000-000000000000}"/>
  <bookViews>
    <workbookView xWindow="28680" yWindow="-120" windowWidth="29040" windowHeight="15840" xr2:uid="{F9BAA1B1-7E65-4488-AAAF-1CCA45E60137}"/>
  </bookViews>
  <sheets>
    <sheet name="general" sheetId="1" r:id="rId1"/>
    <sheet name="SW-L" sheetId="2" r:id="rId2"/>
    <sheet name="SW-R" sheetId="3" r:id="rId3"/>
    <sheet name="Manually_operated" sheetId="4" r:id="rId4"/>
    <sheet name="Obrázky" sheetId="5" state="hidden" r:id="rId5"/>
  </sheets>
  <definedNames>
    <definedName name="_xlnm.Print_Area" localSheetId="0">general!$A$1:$AC$64</definedName>
    <definedName name="_xlnm.Print_Area" localSheetId="3">Manually_operated!$A$1:$I$49</definedName>
    <definedName name="motor">INDEX(Obrázky!$E$20:$E$197, MATCH(general!$J$7,Obrázky!$D$20:$D$138,0))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5" i="5" l="1"/>
  <c r="Y24" i="5"/>
  <c r="Y23" i="5"/>
  <c r="Y21" i="5"/>
  <c r="Y20" i="5"/>
  <c r="Y18" i="5"/>
  <c r="Z17" i="5"/>
  <c r="Y17" i="5"/>
  <c r="Z16" i="5"/>
  <c r="Y16" i="5"/>
  <c r="Y13" i="5"/>
  <c r="AA11" i="5"/>
  <c r="AG109" i="1"/>
  <c r="AG108" i="1"/>
  <c r="H53" i="1" s="1"/>
  <c r="AG107" i="1"/>
  <c r="AG106" i="1"/>
  <c r="AG105" i="1"/>
  <c r="AG104" i="1"/>
  <c r="AG103" i="1"/>
  <c r="AG102" i="1"/>
  <c r="AG101" i="1"/>
  <c r="Y22" i="5" s="1"/>
  <c r="AG100" i="1"/>
  <c r="AG99" i="1"/>
  <c r="D20" i="5" s="1"/>
  <c r="AG98" i="1"/>
  <c r="E42" i="2" s="1"/>
  <c r="AG97" i="1"/>
  <c r="C42" i="2" s="1"/>
  <c r="AG96" i="1"/>
  <c r="D92" i="5" s="1"/>
  <c r="AG95" i="1"/>
  <c r="D117" i="5" s="1"/>
  <c r="AG94" i="1"/>
  <c r="AG93" i="1"/>
  <c r="D68" i="5" s="1"/>
  <c r="AG92" i="1"/>
  <c r="C42" i="4" s="1"/>
  <c r="AG90" i="1"/>
  <c r="AG88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N59" i="1"/>
  <c r="AG58" i="1"/>
  <c r="F58" i="1"/>
  <c r="AG57" i="1"/>
  <c r="F57" i="1"/>
  <c r="AG56" i="1"/>
  <c r="F56" i="1"/>
  <c r="AG55" i="1"/>
  <c r="P55" i="1"/>
  <c r="F55" i="1"/>
  <c r="P54" i="1"/>
  <c r="L54" i="1"/>
  <c r="H54" i="1"/>
  <c r="G54" i="1"/>
  <c r="F54" i="1"/>
  <c r="P53" i="1"/>
  <c r="L53" i="1"/>
  <c r="G53" i="1"/>
  <c r="F53" i="1"/>
  <c r="AG52" i="1"/>
  <c r="G52" i="1"/>
  <c r="F52" i="1"/>
  <c r="AG51" i="1"/>
  <c r="AG50" i="1"/>
  <c r="AG47" i="1"/>
  <c r="R54" i="1" s="1"/>
  <c r="AG46" i="1"/>
  <c r="AG45" i="1"/>
  <c r="AG44" i="1"/>
  <c r="AG41" i="1"/>
  <c r="AG40" i="1"/>
  <c r="AG39" i="1"/>
  <c r="AG38" i="1"/>
  <c r="AG37" i="1"/>
  <c r="AG34" i="1"/>
  <c r="AG33" i="1"/>
  <c r="I20" i="1" s="1"/>
  <c r="AG32" i="1"/>
  <c r="AG31" i="1"/>
  <c r="AG28" i="1"/>
  <c r="AG27" i="1"/>
  <c r="AG26" i="1"/>
  <c r="AG25" i="1"/>
  <c r="AG24" i="1"/>
  <c r="AG23" i="1"/>
  <c r="AG22" i="1"/>
  <c r="AG19" i="1"/>
  <c r="AG18" i="1"/>
  <c r="AG17" i="1"/>
  <c r="I16" i="1"/>
  <c r="AG14" i="1"/>
  <c r="AG13" i="1"/>
  <c r="AG12" i="1"/>
  <c r="AG11" i="1"/>
  <c r="AG10" i="1"/>
  <c r="U2" i="1" s="1"/>
  <c r="C40" i="2" s="1"/>
  <c r="H9" i="1"/>
  <c r="AG8" i="1"/>
  <c r="AG7" i="1"/>
  <c r="AG6" i="1"/>
  <c r="AU5" i="1"/>
  <c r="AG5" i="1"/>
  <c r="E11" i="1" s="1"/>
  <c r="AU4" i="1"/>
  <c r="AG4" i="1"/>
  <c r="C54" i="1" s="1"/>
  <c r="L4" i="1"/>
  <c r="AU3" i="1"/>
  <c r="AG3" i="1"/>
  <c r="AU2" i="1"/>
  <c r="I24" i="1" s="1"/>
  <c r="AG2" i="1"/>
  <c r="AU1" i="1"/>
  <c r="I23" i="1" s="1"/>
  <c r="AE1" i="1"/>
  <c r="X27" i="1" l="1"/>
  <c r="X31" i="1"/>
  <c r="R41" i="1"/>
  <c r="C40" i="4"/>
  <c r="B49" i="1"/>
  <c r="C58" i="1"/>
  <c r="M52" i="1"/>
  <c r="C53" i="1"/>
  <c r="C59" i="1"/>
  <c r="M56" i="1"/>
  <c r="V58" i="1"/>
  <c r="H7" i="1"/>
  <c r="C40" i="3"/>
  <c r="E42" i="4"/>
  <c r="S8" i="1"/>
  <c r="R50" i="1"/>
  <c r="C42" i="3"/>
  <c r="X5" i="1"/>
  <c r="T56" i="1"/>
  <c r="C57" i="1"/>
  <c r="R52" i="1"/>
  <c r="E42" i="3"/>
  <c r="D44" i="5"/>
  <c r="R43" i="1"/>
  <c r="B45" i="1"/>
  <c r="B47" i="1"/>
  <c r="X24" i="1"/>
  <c r="B48" i="1"/>
  <c r="C55" i="1"/>
  <c r="C56" i="1"/>
  <c r="X4" i="1"/>
  <c r="B51" i="1"/>
  <c r="I26" i="1"/>
  <c r="R47" i="1"/>
  <c r="X56" i="1"/>
  <c r="V60" i="1"/>
  <c r="V56" i="1"/>
  <c r="X7" i="1"/>
  <c r="C52" i="1"/>
  <c r="Z56" i="1"/>
  <c r="C60" i="1"/>
  <c r="H5" i="1"/>
  <c r="M35" i="1"/>
  <c r="X43" i="1"/>
  <c r="AA56" i="1"/>
  <c r="X6" i="1"/>
  <c r="G55" i="1"/>
  <c r="H3" i="1"/>
  <c r="AB56" i="1"/>
  <c r="V62" i="1"/>
  <c r="R49" i="1"/>
  <c r="Z62" i="1"/>
  <c r="R53" i="1"/>
  <c r="R56" i="1"/>
  <c r="AA62" i="1"/>
  <c r="C48" i="3" l="1"/>
  <c r="C48" i="4"/>
  <c r="C48" i="2"/>
  <c r="C44" i="2"/>
  <c r="C44" i="3"/>
  <c r="C44" i="4"/>
  <c r="C46" i="3"/>
  <c r="C46" i="4"/>
  <c r="C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Horacek</author>
  </authors>
  <commentList>
    <comment ref="AA11" authorId="0" shapeId="0" xr:uid="{D4E05453-32C9-461A-A5BD-A94889CA5DAA}">
      <text>
        <r>
          <rPr>
            <b/>
            <sz val="9"/>
            <color indexed="81"/>
            <rFont val="Tahoma"/>
            <family val="2"/>
            <charset val="238"/>
          </rPr>
          <t>Tomas Horacek:</t>
        </r>
        <r>
          <rPr>
            <sz val="9"/>
            <color indexed="81"/>
            <rFont val="Tahoma"/>
            <family val="2"/>
            <charset val="238"/>
          </rPr>
          <t xml:space="preserve">
Výpočet pro boční prostory</t>
        </r>
      </text>
    </comment>
  </commentList>
</comments>
</file>

<file path=xl/sharedStrings.xml><?xml version="1.0" encoding="utf-8"?>
<sst xmlns="http://schemas.openxmlformats.org/spreadsheetml/2006/main" count="857" uniqueCount="776">
  <si>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</si>
  <si>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</si>
  <si>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</si>
  <si>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</si>
  <si>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</si>
  <si>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</si>
  <si>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</si>
  <si>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</si>
  <si>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</si>
  <si>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</si>
  <si>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</si>
  <si>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</si>
  <si>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</si>
  <si>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</si>
  <si>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</si>
  <si>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</si>
  <si>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</si>
  <si>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</si>
  <si>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</si>
  <si>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</si>
  <si>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</si>
  <si>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</si>
  <si>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</si>
  <si>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</si>
  <si>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otvoru: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</si>
  <si>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</si>
  <si>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</si>
  <si>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</si>
  <si>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</si>
  <si>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</si>
  <si>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</si>
  <si>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</si>
  <si>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</si>
  <si>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Výška otvoru: 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</si>
  <si>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</si>
  <si>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</si>
  <si>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</si>
  <si>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</si>
  <si>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</si>
  <si>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</si>
  <si>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</si>
  <si>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</si>
  <si>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</si>
  <si>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</si>
  <si>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</si>
  <si>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</si>
  <si>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</si>
  <si>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</si>
  <si>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</si>
  <si>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</si>
  <si>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</si>
  <si>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</si>
  <si>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</si>
  <si>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</si>
  <si>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</si>
  <si>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</si>
  <si>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</si>
  <si>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</si>
  <si>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</si>
  <si>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</si>
  <si>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</si>
  <si>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</si>
  <si>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</si>
  <si>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</si>
  <si>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</si>
  <si>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</si>
  <si>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</si>
  <si>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</si>
  <si>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r>
      <t>Max. W x H 5000 x 5500 max 25 m</t>
    </r>
    <r>
      <rPr>
        <vertAlign val="superscript"/>
        <sz val="11"/>
        <color indexed="8"/>
        <rFont val="Calibri"/>
        <family val="2"/>
        <charset val="238"/>
      </rPr>
      <t>2</t>
    </r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</si>
  <si>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</si>
  <si>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</si>
  <si>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</si>
  <si>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</si>
  <si>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</si>
  <si>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</si>
  <si>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</si>
  <si>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</si>
  <si>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</si>
  <si>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</si>
  <si>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</si>
  <si>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</si>
  <si>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VERTIKÁLNÍ VEDENÍ S PŘEDMONT. HŘÍDELÍ  (VL-T)</t>
  </si>
  <si>
    <t>PRE-ASSEMBLED VERTICAL LIFT SYSTEM (VL-T)</t>
  </si>
  <si>
    <t>VERTIKALFÜHRUNG MIT VORMONTIERTER WELLE (VL-T)</t>
  </si>
  <si>
    <t>PRZYGOTOWANIE_KONSTRUKCYJNE Zarządzanie budynkiem z pre pionowy wał (VL-T)</t>
  </si>
  <si>
    <t>LEVEE VERTICALE (VL-T)</t>
  </si>
  <si>
    <t>VERTICAAL PLAFOND SYSTEEM (VL-T)</t>
  </si>
  <si>
    <t>Vertikaaltõste (VL-T)</t>
  </si>
  <si>
    <t>SUORANOSTO (VL-T)</t>
  </si>
  <si>
    <t>ВЕРТИКАЛЬНЫЙ ПОДЪЕМ С ПРЕДСОБРАННЫМ ВАЛОМ (VL-T)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</si>
  <si>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</si>
  <si>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</si>
  <si>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</si>
  <si>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</si>
  <si>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</si>
  <si>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</si>
  <si>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</si>
  <si>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</si>
  <si>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</si>
  <si>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PANEL 40/80mm</t>
  </si>
  <si>
    <t>SECTION THICKNESS 40/80 mm</t>
  </si>
  <si>
    <t>Paneel 40/80 mm</t>
  </si>
  <si>
    <t>Panel 40/80 mm</t>
  </si>
  <si>
    <t>40/80 mm PANNEAU</t>
  </si>
  <si>
    <t>PANEEL 40/80 mm</t>
  </si>
  <si>
    <t>Lamelli 40/80mm</t>
  </si>
  <si>
    <t xml:space="preserve">ТОЛЩИНА СЕКЦИИ 40/80мм </t>
  </si>
  <si>
    <t>Max. W x H 5000 x 5500 max 25 m2</t>
  </si>
  <si>
    <t>макс. ШхВ (WxH) 5000 x 5500 max 25 m2</t>
  </si>
  <si>
    <t>Vrata ovládaná motorem</t>
  </si>
  <si>
    <t>Door operated by motor</t>
  </si>
  <si>
    <t>Tore mit Antrieb</t>
  </si>
  <si>
    <t>Bramy z napędem</t>
  </si>
  <si>
    <t>Motorisée des portes</t>
  </si>
  <si>
    <t>elektrisch bediende deuren</t>
  </si>
  <si>
    <t>Tagasi hoidja mootori</t>
  </si>
  <si>
    <t>Return ohjaus moottori</t>
  </si>
  <si>
    <t>Возврат управления двигателем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</si>
  <si>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</si>
  <si>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</si>
  <si>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</si>
  <si>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</si>
  <si>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</si>
  <si>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</si>
  <si>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</si>
  <si>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</si>
  <si>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</si>
  <si>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</si>
  <si>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</si>
  <si>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</si>
  <si>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</si>
  <si>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</si>
  <si>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</si>
  <si>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</si>
  <si>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</si>
  <si>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</si>
  <si>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</si>
  <si>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</si>
  <si>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</si>
  <si>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</si>
  <si>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</si>
  <si>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</si>
  <si>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</si>
  <si>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</si>
  <si>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</si>
  <si>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</si>
  <si>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</si>
  <si>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</si>
  <si>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</si>
  <si>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</si>
  <si>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</si>
  <si>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</si>
  <si>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</si>
  <si>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</si>
  <si>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</si>
  <si>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</si>
  <si>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</si>
  <si>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</si>
  <si>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</si>
  <si>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</si>
  <si>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</si>
  <si>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</si>
  <si>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</si>
  <si>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</si>
  <si>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</si>
  <si>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</si>
  <si>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</si>
  <si>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</si>
  <si>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</si>
  <si>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</si>
  <si>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</si>
  <si>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</si>
  <si>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</si>
  <si>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</si>
  <si>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</si>
  <si>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</si>
  <si>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</si>
  <si>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</si>
  <si>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</si>
  <si>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</si>
  <si>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</si>
  <si>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</si>
  <si>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</si>
  <si>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</si>
  <si>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</si>
  <si>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</si>
  <si>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</si>
  <si>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</si>
  <si>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</si>
  <si>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</si>
  <si>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</si>
  <si>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</si>
  <si>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</si>
  <si>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</si>
  <si>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</si>
  <si>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</si>
  <si>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</si>
  <si>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</si>
  <si>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</si>
  <si>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</si>
  <si>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</si>
  <si>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</si>
  <si>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</si>
  <si>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</si>
  <si>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</si>
  <si>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</si>
  <si>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</si>
  <si>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</si>
  <si>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</si>
  <si>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</si>
  <si>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</si>
  <si>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</si>
  <si>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</si>
  <si>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</si>
  <si>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</si>
  <si>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</si>
  <si>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</si>
  <si>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</si>
  <si>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</si>
  <si>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</si>
  <si>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</si>
  <si>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</si>
  <si>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</si>
  <si>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</si>
  <si>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</si>
  <si>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</si>
  <si>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</si>
  <si>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</si>
  <si>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</si>
  <si>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</si>
  <si>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</si>
  <si>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</si>
  <si>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</si>
  <si>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</si>
  <si>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</si>
  <si>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</si>
  <si>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</si>
  <si>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</si>
  <si>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</si>
  <si>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</si>
  <si>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</si>
  <si>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</si>
  <si>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</si>
  <si>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</si>
  <si>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B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</si>
  <si>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</si>
  <si>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</si>
  <si>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</si>
  <si>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</si>
  <si>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</si>
  <si>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</si>
  <si>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</si>
  <si>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</si>
  <si>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</si>
  <si>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</si>
  <si>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</si>
  <si>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</si>
  <si>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</si>
  <si>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</si>
  <si>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</si>
  <si>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</si>
  <si>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</si>
  <si>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</si>
  <si>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</si>
  <si>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</si>
  <si>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</si>
  <si>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</si>
  <si>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</si>
  <si>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</si>
  <si>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</si>
  <si>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</si>
  <si>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</si>
  <si>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</si>
  <si>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</si>
  <si>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</si>
  <si>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</si>
  <si>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</si>
  <si>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</si>
  <si>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</si>
  <si>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</si>
  <si>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</si>
  <si>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</si>
  <si>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</si>
  <si>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</t>
  </si>
  <si>
    <t>necessary side room for electrical- or hauling chain operation</t>
  </si>
  <si>
    <t xml:space="preserve">Benötigter Freiraum bei Elektro- oder Haspelkettenbedienung </t>
  </si>
  <si>
    <t>niezbędna przestrzeń boczna dla silnika lub napędu łańcuchowego</t>
  </si>
  <si>
    <t>écoinçon minimum requis pour le moteur ou treuil a chaîne</t>
  </si>
  <si>
    <t>benodigde vrije ruimte voor elektrische- of ketting bediening</t>
  </si>
  <si>
    <t>vajalik küljeruum mootori või tali puhul</t>
  </si>
  <si>
    <t xml:space="preserve">tarvittava tila mootori- tai ketjunostolle </t>
  </si>
  <si>
    <t>необходимое боковое пространство для электропривода или цепного редуктора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</si>
  <si>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</si>
  <si>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</si>
  <si>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</si>
  <si>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</si>
  <si>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</si>
  <si>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</si>
  <si>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</si>
  <si>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</si>
  <si>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</si>
  <si>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</si>
  <si>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</si>
  <si>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</si>
  <si>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</si>
  <si>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</si>
  <si>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</si>
  <si>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</si>
  <si>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</si>
  <si>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</si>
  <si>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Zásuvka, parametry najdete v dokumentaci produktu</t>
  </si>
  <si>
    <t>Electric outlet parameters can be found in the product documentation.</t>
  </si>
  <si>
    <t>Die Parameter der Steckdosen sind in der Produktdokumentation zu finden.</t>
  </si>
  <si>
    <t>Parametry gniazdka elektrycznego można znaleźć w dokumentacji produktu.</t>
  </si>
  <si>
    <t>Les paramètres des prises électriques sont indiqués dans la documentation du produit.</t>
  </si>
  <si>
    <t>De parameters van het stopcontact zijn te vinden in de productdocumentatie.</t>
  </si>
  <si>
    <t>Elektripistiku parameetrid leiate toote dokumentatsioonist.</t>
  </si>
  <si>
    <t>Pistorasian parametrit löytyvät tuoteasiakirjoista.</t>
  </si>
  <si>
    <t>Параметры электрической розетки приведены в документации на изделие.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</si>
  <si>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</si>
  <si>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</si>
  <si>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</si>
  <si>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</si>
  <si>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</si>
  <si>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</si>
  <si>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</si>
  <si>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</si>
  <si>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</si>
  <si>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</si>
  <si>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</si>
  <si>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</si>
  <si>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</si>
  <si>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</si>
  <si>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</si>
  <si>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</si>
  <si>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</si>
  <si>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</si>
  <si>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</si>
  <si>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</si>
  <si>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</si>
  <si>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</si>
  <si>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</si>
  <si>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</si>
  <si>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</si>
  <si>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</si>
  <si>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</si>
  <si>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</si>
  <si>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</si>
  <si>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F</t>
  </si>
  <si>
    <t>H + 420</t>
  </si>
  <si>
    <t xml:space="preserve">E = </t>
  </si>
  <si>
    <t>J</t>
  </si>
  <si>
    <t>H + 150</t>
  </si>
  <si>
    <t xml:space="preserve">F = </t>
  </si>
  <si>
    <t>E</t>
  </si>
  <si>
    <t>min. 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</si>
  <si>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</si>
  <si>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</si>
  <si>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</si>
  <si>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</si>
  <si>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</si>
  <si>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</si>
  <si>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</si>
  <si>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</si>
  <si>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</si>
  <si>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J = </t>
  </si>
  <si>
    <t>D</t>
  </si>
  <si>
    <t>min. 600</t>
  </si>
  <si>
    <t>Šířka otvoru</t>
  </si>
  <si>
    <t>ширина проема</t>
  </si>
  <si>
    <t xml:space="preserve">L = </t>
  </si>
  <si>
    <t>A</t>
  </si>
  <si>
    <t>K. Luňák</t>
  </si>
  <si>
    <t>R. Kříž</t>
  </si>
  <si>
    <t>STP</t>
  </si>
  <si>
    <t>-</t>
  </si>
  <si>
    <t>A3</t>
  </si>
  <si>
    <t>Výška otvoru</t>
  </si>
  <si>
    <t>высота проема</t>
  </si>
  <si>
    <t xml:space="preserve">R = </t>
  </si>
  <si>
    <t>http://door-documents.com/en/indy-installation-drawing-vl-t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</si>
  <si>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</si>
  <si>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</si>
  <si>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</si>
  <si>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</si>
  <si>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</si>
  <si>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</si>
  <si>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</si>
  <si>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</si>
  <si>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</si>
  <si>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</si>
  <si>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Z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</si>
  <si>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</si>
  <si>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</si>
  <si>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</si>
  <si>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</si>
  <si>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</si>
  <si>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</si>
  <si>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</si>
  <si>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</si>
  <si>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</si>
  <si>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Q = 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</si>
  <si>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</si>
  <si>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</si>
  <si>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</si>
  <si>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</si>
  <si>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</si>
  <si>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</si>
  <si>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</si>
  <si>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</si>
  <si>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</si>
  <si>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</si>
  <si>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</si>
  <si>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</si>
  <si>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</si>
  <si>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</si>
  <si>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</si>
  <si>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</si>
  <si>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</si>
  <si>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</si>
  <si>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</si>
  <si>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</si>
  <si>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</si>
  <si>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</si>
  <si>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</si>
  <si>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</si>
  <si>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</si>
  <si>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</si>
  <si>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</si>
  <si>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C45-C1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</si>
  <si>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</si>
  <si>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</si>
  <si>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</si>
  <si>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</si>
  <si>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</si>
  <si>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</si>
  <si>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</si>
  <si>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</si>
  <si>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</si>
  <si>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Volný prostor nad vertikálním vedením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</si>
  <si>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</si>
  <si>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</si>
  <si>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</si>
  <si>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</si>
  <si>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</si>
  <si>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</si>
  <si>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</si>
  <si>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</si>
  <si>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</si>
  <si>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</si>
  <si>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</si>
  <si>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</si>
  <si>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</si>
  <si>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</si>
  <si>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</si>
  <si>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</si>
  <si>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</si>
  <si>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</si>
  <si>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</si>
  <si>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</si>
  <si>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</si>
  <si>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</si>
  <si>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</si>
  <si>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</si>
  <si>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</si>
  <si>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</si>
  <si>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</si>
  <si>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</si>
  <si>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</si>
  <si>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</si>
  <si>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</si>
  <si>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</si>
  <si>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</si>
  <si>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</si>
  <si>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</si>
  <si>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</si>
  <si>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</si>
  <si>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</si>
  <si>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</si>
  <si>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</si>
  <si>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</si>
  <si>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</si>
  <si>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</si>
  <si>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</si>
  <si>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</si>
  <si>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</si>
  <si>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</si>
  <si>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</si>
  <si>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</si>
  <si>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</si>
  <si>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</si>
  <si>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</si>
  <si>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</si>
  <si>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</si>
  <si>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</si>
  <si>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</si>
  <si>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</si>
  <si>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</si>
  <si>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</si>
  <si>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</si>
  <si>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</si>
  <si>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</si>
  <si>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</si>
  <si>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</si>
  <si>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</si>
  <si>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</si>
  <si>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</si>
  <si>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</si>
  <si>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</si>
  <si>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</si>
  <si>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</si>
  <si>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</si>
  <si>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</si>
  <si>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</si>
  <si>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</si>
  <si>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</si>
  <si>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</si>
  <si>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</si>
  <si>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</si>
  <si>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</si>
  <si>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</si>
  <si>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door -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</si>
  <si>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</si>
  <si>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</si>
  <si>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</si>
  <si>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</si>
  <si>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</si>
  <si>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</si>
  <si>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</si>
  <si>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</si>
  <si>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</si>
  <si>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</si>
  <si>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</si>
  <si>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</si>
  <si>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</si>
  <si>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</si>
  <si>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</si>
  <si>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</si>
  <si>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</si>
  <si>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</si>
  <si>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</si>
  <si>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</si>
  <si>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</si>
  <si>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</si>
  <si>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</si>
  <si>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</si>
  <si>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</si>
  <si>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</si>
  <si>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</si>
  <si>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</si>
  <si>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</si>
  <si>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</si>
  <si>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</si>
  <si>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</si>
  <si>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</si>
  <si>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</si>
  <si>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</si>
  <si>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</si>
  <si>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</si>
  <si>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</si>
  <si>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</si>
  <si>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</si>
  <si>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</si>
  <si>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</si>
  <si>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</si>
  <si>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</si>
  <si>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</si>
  <si>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</si>
  <si>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</si>
  <si>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</si>
  <si>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</si>
  <si>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</si>
  <si>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</si>
  <si>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</si>
  <si>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</si>
  <si>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</si>
  <si>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</si>
  <si>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</si>
  <si>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</si>
  <si>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</si>
  <si>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</si>
  <si>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</si>
  <si>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</si>
  <si>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</si>
  <si>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</si>
  <si>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</si>
  <si>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</si>
  <si>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</si>
  <si>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</si>
  <si>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</si>
  <si>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</si>
  <si>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</si>
  <si>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</si>
  <si>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</si>
  <si>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</si>
  <si>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</si>
  <si>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</si>
  <si>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</si>
  <si>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</si>
  <si>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</si>
  <si>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</si>
  <si>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</si>
  <si>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</si>
  <si>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</si>
  <si>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</si>
  <si>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</si>
  <si>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</si>
  <si>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</si>
  <si>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</si>
  <si>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</si>
  <si>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</si>
  <si>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</si>
  <si>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</si>
  <si>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</si>
  <si>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</si>
  <si>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</si>
  <si>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</si>
  <si>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</si>
  <si>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</si>
  <si>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</si>
  <si>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</si>
  <si>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</si>
  <si>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</si>
  <si>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</si>
  <si>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</si>
  <si>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</si>
  <si>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</si>
  <si>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</si>
  <si>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</si>
  <si>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</si>
  <si>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</si>
  <si>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</si>
  <si>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</si>
  <si>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</si>
  <si>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</si>
  <si>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</si>
  <si>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</si>
  <si>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</si>
  <si>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</si>
  <si>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</si>
  <si>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</si>
  <si>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</si>
  <si>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</si>
  <si>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 vlevo</t>
  </si>
  <si>
    <t>hauling chain operated - left</t>
  </si>
  <si>
    <t>Haspelkette - links</t>
  </si>
  <si>
    <t>Łańcuch napędu -  lewy</t>
  </si>
  <si>
    <t>TREUIL A CHAINE - gauche</t>
  </si>
  <si>
    <t>handketting - links</t>
  </si>
  <si>
    <t>taliga - vasakule</t>
  </si>
  <si>
    <t>ketjukäyttöinen - vasen</t>
  </si>
  <si>
    <t xml:space="preserve">цепной привод -  левый
</t>
  </si>
  <si>
    <t>řetězovým převodem vpravo</t>
  </si>
  <si>
    <t>hauling chain operated - right</t>
  </si>
  <si>
    <t>Haspelkette - rechts</t>
  </si>
  <si>
    <t>Łańcuch napędu -  prawy</t>
  </si>
  <si>
    <t>TREUIL A CHAINE - droite</t>
  </si>
  <si>
    <t>handketting - rechts</t>
  </si>
  <si>
    <t>taliga - paremale</t>
  </si>
  <si>
    <t>ketjukäyttöinen - oikea</t>
  </si>
  <si>
    <t>цепной привод -  правая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</si>
  <si>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</si>
  <si>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</si>
  <si>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</si>
  <si>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</si>
  <si>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</si>
  <si>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</si>
  <si>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</si>
  <si>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</si>
  <si>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</si>
  <si>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Elektricky - motor vlevo</t>
  </si>
  <si>
    <t>electric motor on the left</t>
  </si>
  <si>
    <t>Antrieb - links</t>
  </si>
  <si>
    <t>silnik elektryczny po lewej stronie</t>
  </si>
  <si>
    <t>moteur électrique à gauche</t>
  </si>
  <si>
    <t>elektromotor links</t>
  </si>
  <si>
    <t>elektrimootor vasakul</t>
  </si>
  <si>
    <t>sähkömoottori oikealla</t>
  </si>
  <si>
    <t>электродвигатель слева</t>
  </si>
  <si>
    <t>Elektricky - motor vpravo</t>
  </si>
  <si>
    <t>electric motor on the right</t>
  </si>
  <si>
    <t>Antrieb - rechts</t>
  </si>
  <si>
    <t>silnik elektryczny po prawej stronie</t>
  </si>
  <si>
    <t>moteur électrique à droite</t>
  </si>
  <si>
    <t>elektromotor rechts</t>
  </si>
  <si>
    <t>elektrimootor paremal</t>
  </si>
  <si>
    <t>sähkömoottori vasemmalla</t>
  </si>
  <si>
    <t>электродвигатель справа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</si>
  <si>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</si>
  <si>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</si>
  <si>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</si>
  <si>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</si>
  <si>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</si>
  <si>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</si>
  <si>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</si>
  <si>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</si>
  <si>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</si>
  <si>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</si>
  <si>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</si>
  <si>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 xml:space="preserve"> 40 mm</t>
  </si>
  <si>
    <t>40 mm </t>
  </si>
  <si>
    <t xml:space="preserve">40мм </t>
  </si>
  <si>
    <t>80mm</t>
  </si>
  <si>
    <t>80 mm</t>
  </si>
  <si>
    <t xml:space="preserve"> 80 mm</t>
  </si>
  <si>
    <t>80 mm </t>
  </si>
  <si>
    <t xml:space="preserve">80мм </t>
  </si>
  <si>
    <t>Levá strana</t>
  </si>
  <si>
    <t xml:space="preserve">Left side </t>
  </si>
  <si>
    <t>Linke Seite</t>
  </si>
  <si>
    <t>Lewa strona</t>
  </si>
  <si>
    <t>Côté gauche</t>
  </si>
  <si>
    <t>Linkerzijde</t>
  </si>
  <si>
    <t>Vasakpoolne</t>
  </si>
  <si>
    <t>Vasen puoli</t>
  </si>
  <si>
    <t>левая сторона</t>
  </si>
  <si>
    <t>Pravá strana</t>
  </si>
  <si>
    <t>Right side</t>
  </si>
  <si>
    <t>Rechte Seite</t>
  </si>
  <si>
    <t>Prawa strona</t>
  </si>
  <si>
    <t>Côté droit</t>
  </si>
  <si>
    <t>Rechterkant</t>
  </si>
  <si>
    <t>Paremal pool</t>
  </si>
  <si>
    <t>Oikea puoli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</si>
  <si>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</si>
  <si>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</si>
  <si>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</si>
  <si>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</si>
  <si>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</si>
  <si>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</si>
  <si>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</si>
  <si>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</si>
  <si>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</si>
  <si>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</si>
  <si>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</si>
  <si>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</si>
  <si>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</si>
  <si>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</si>
  <si>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</si>
  <si>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</si>
  <si>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</si>
  <si>
    <t>Pro pojistku při prasknutí lanka s oranžovým krytem minimální boční prostor (L a R) min. 145mm</t>
  </si>
  <si>
    <t>For cable break device with orange cover  side space (L and R) min. 145mm</t>
  </si>
  <si>
    <t>Für Seilbruchsicher mit orangefarbenem Deckel Seitenabstand (L und R) min. 145mm</t>
  </si>
  <si>
    <t>Dla przerywacza kabla z pomarańczową osłoną odstęp boczny (L i R) min. 145 mm</t>
  </si>
  <si>
    <t>Pour les dispositifs de coupure de câble avec couvercle orange espace latéral (G et D) min. 145mm</t>
  </si>
  <si>
    <t>Voor kabelbreekapparaat met oranje afdekking Zijruimte (L en R) min. 145 mm</t>
  </si>
  <si>
    <t>Oranži kattega kaablikatkestusseadme jaoks külgmised ruumid (L ja R) min. 145mm</t>
  </si>
  <si>
    <t>Kaapelin katkaisulaitteelle, jossa on oranssi kansi Sivutila (L ja R) min. 145mm.</t>
  </si>
  <si>
    <t>Для устройства разрыва кабеля с оранжевой крышкой боковое пространство (L и R) мин. 145 мм</t>
  </si>
  <si>
    <t>Strana motoru</t>
  </si>
  <si>
    <t xml:space="preserve">Motor side </t>
  </si>
  <si>
    <t xml:space="preserve">Antriebseite </t>
  </si>
  <si>
    <t xml:space="preserve">Strona silnika </t>
  </si>
  <si>
    <t xml:space="preserve">Côté moteur </t>
  </si>
  <si>
    <t xml:space="preserve">Motorzijde </t>
  </si>
  <si>
    <t xml:space="preserve">Mootori pool </t>
  </si>
  <si>
    <t xml:space="preserve">Moottorin puoli </t>
  </si>
  <si>
    <t xml:space="preserve">Сторона двигателя </t>
  </si>
  <si>
    <t>Druhá strana</t>
  </si>
  <si>
    <t>Other side</t>
  </si>
  <si>
    <t xml:space="preserve">Andere Seite </t>
  </si>
  <si>
    <t xml:space="preserve">Druga strona </t>
  </si>
  <si>
    <t xml:space="preserve">Autre côté </t>
  </si>
  <si>
    <t xml:space="preserve">Andere kant </t>
  </si>
  <si>
    <t xml:space="preserve">Teine pool </t>
  </si>
  <si>
    <t xml:space="preserve">Muu puoli </t>
  </si>
  <si>
    <t xml:space="preserve">Другая сторона </t>
  </si>
  <si>
    <t/>
  </si>
  <si>
    <t>Pomocné výpočty</t>
  </si>
  <si>
    <t>W=</t>
  </si>
  <si>
    <t xml:space="preserve">L+ W + R = </t>
  </si>
  <si>
    <t>Vlevo</t>
  </si>
  <si>
    <t xml:space="preserve">Vpravo </t>
  </si>
  <si>
    <t>40 NEBO 80MM</t>
  </si>
  <si>
    <t>Plocha pro výpočet pomocné konzole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</si>
</sst>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7"/>
      <color rgb="FFFF9F3F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10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8"/>
      <name val="Arial"/>
      <family val="2"/>
      <charset val="238"/>
    </font>
    <font>
      <sz val="10"/>
      <color indexed="8"/>
      <name val="Arial Unicode M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3" borderId="0" xfId="0" applyFill="1"/>
    <xf numFmtId="0" fontId="5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0" xfId="0" applyFont="1" applyFill="1"/>
    <xf numFmtId="0" fontId="7" fillId="0" borderId="0" xfId="0" applyFont="1"/>
    <xf numFmtId="0" fontId="2" fillId="3" borderId="0" xfId="1" applyFont="1" applyFill="1"/>
    <xf numFmtId="0" fontId="2" fillId="0" borderId="0" xfId="0" applyFont="1"/>
    <xf numFmtId="0" fontId="6" fillId="0" borderId="0" xfId="0" applyFont="1"/>
    <xf numFmtId="0" fontId="9" fillId="0" borderId="0" xfId="0" applyFont="1" applyAlignment="1">
      <alignment vertical="center" textRotation="90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6" borderId="0" xfId="0" applyFill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11" fillId="0" borderId="0" xfId="0" applyFont="1"/>
    <xf numFmtId="0" fontId="0" fillId="0" borderId="10" xfId="0" applyBorder="1"/>
    <xf numFmtId="0" fontId="9" fillId="0" borderId="0" xfId="0" applyFont="1"/>
    <xf numFmtId="0" fontId="10" fillId="0" borderId="0" xfId="0" applyFont="1" applyAlignment="1">
      <alignment horizontal="right" textRotation="90"/>
    </xf>
    <xf numFmtId="0" fontId="13" fillId="0" borderId="0" xfId="0" applyFont="1" applyAlignment="1">
      <alignment textRotation="90" wrapText="1"/>
    </xf>
    <xf numFmtId="0" fontId="9" fillId="0" borderId="0" xfId="0" applyFont="1" applyAlignment="1">
      <alignment textRotation="90"/>
    </xf>
    <xf numFmtId="0" fontId="14" fillId="0" borderId="10" xfId="0" applyFont="1" applyBorder="1"/>
    <xf numFmtId="0" fontId="15" fillId="0" borderId="0" xfId="0" applyFont="1"/>
    <xf numFmtId="0" fontId="9" fillId="0" borderId="0" xfId="0" applyFont="1" applyAlignment="1">
      <alignment horizontal="center" textRotation="90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8" fillId="0" borderId="0" xfId="0" applyFont="1"/>
    <xf numFmtId="0" fontId="1" fillId="0" borderId="0" xfId="0" applyFont="1"/>
    <xf numFmtId="0" fontId="1" fillId="0" borderId="6" xfId="0" applyFont="1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7" borderId="12" xfId="0" applyFill="1" applyBorder="1"/>
    <xf numFmtId="0" fontId="0" fillId="7" borderId="1" xfId="0" applyFill="1" applyBorder="1"/>
    <xf numFmtId="0" fontId="0" fillId="7" borderId="8" xfId="0" applyFill="1" applyBorder="1"/>
    <xf numFmtId="0" fontId="19" fillId="0" borderId="0" xfId="0" applyFont="1"/>
    <xf numFmtId="0" fontId="20" fillId="0" borderId="12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0" fontId="22" fillId="4" borderId="0" xfId="1" applyFont="1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0" fillId="0" borderId="3" xfId="0" applyBorder="1"/>
    <xf numFmtId="0" fontId="25" fillId="0" borderId="0" xfId="0" applyFont="1"/>
    <xf numFmtId="0" fontId="25" fillId="0" borderId="6" xfId="0" applyFont="1" applyBorder="1"/>
    <xf numFmtId="0" fontId="9" fillId="0" borderId="10" xfId="0" applyFont="1" applyBorder="1" applyAlignment="1">
      <alignment horizontal="right" vertical="center" textRotation="90"/>
    </xf>
    <xf numFmtId="0" fontId="9" fillId="0" borderId="10" xfId="0" applyFont="1" applyBorder="1" applyAlignment="1">
      <alignment textRotation="90"/>
    </xf>
    <xf numFmtId="0" fontId="25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vertical="center"/>
    </xf>
    <xf numFmtId="0" fontId="19" fillId="0" borderId="19" xfId="0" applyFont="1" applyBorder="1" applyAlignment="1">
      <alignment horizontal="left"/>
    </xf>
    <xf numFmtId="0" fontId="2" fillId="0" borderId="19" xfId="0" applyFont="1" applyBorder="1"/>
    <xf numFmtId="0" fontId="19" fillId="0" borderId="19" xfId="0" applyFont="1" applyBorder="1"/>
    <xf numFmtId="0" fontId="0" fillId="0" borderId="0" xfId="0" applyAlignment="1">
      <alignment horizontal="center" vertical="center" textRotation="90"/>
    </xf>
    <xf numFmtId="0" fontId="25" fillId="0" borderId="19" xfId="0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6" fillId="0" borderId="0" xfId="0" applyFont="1"/>
    <xf numFmtId="0" fontId="0" fillId="0" borderId="24" xfId="0" applyBorder="1"/>
    <xf numFmtId="0" fontId="0" fillId="0" borderId="0" xfId="0" applyAlignment="1">
      <alignment vertical="center" textRotation="9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4" xfId="0" applyFont="1" applyBorder="1" applyAlignment="1">
      <alignment horizontal="center" vertical="top" wrapText="1" shrinkToFit="1"/>
    </xf>
    <xf numFmtId="0" fontId="21" fillId="0" borderId="5" xfId="0" applyFont="1" applyBorder="1" applyAlignment="1">
      <alignment horizontal="center" vertical="top" wrapText="1" shrinkToFit="1"/>
    </xf>
    <xf numFmtId="0" fontId="21" fillId="0" borderId="3" xfId="0" applyFont="1" applyBorder="1" applyAlignment="1">
      <alignment horizontal="center" vertical="top" wrapText="1" shrinkToFit="1"/>
    </xf>
    <xf numFmtId="0" fontId="21" fillId="0" borderId="10" xfId="0" applyFont="1" applyBorder="1" applyAlignment="1">
      <alignment horizontal="center" vertical="top" wrapText="1" shrinkToFit="1"/>
    </xf>
    <xf numFmtId="0" fontId="21" fillId="0" borderId="0" xfId="0" applyFont="1" applyAlignment="1">
      <alignment horizontal="center" vertical="top" wrapText="1" shrinkToFit="1"/>
    </xf>
    <xf numFmtId="0" fontId="21" fillId="0" borderId="6" xfId="0" applyFont="1" applyBorder="1" applyAlignment="1">
      <alignment horizontal="center" vertical="top" wrapText="1" shrinkToFi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6" fillId="0" borderId="10" xfId="0" applyFont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6" fillId="0" borderId="14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3" xfId="0" applyFont="1" applyBorder="1" applyAlignment="1">
      <alignment horizontal="center" vertical="top" wrapText="1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1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6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0" xfId="0" applyFont="1" applyAlignment="1">
      <alignment horizontal="center" textRotation="90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textRotation="90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right" vertical="center" textRotation="90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textRotation="90" wrapText="1"/>
    </xf>
    <xf numFmtId="0" fontId="10" fillId="0" borderId="0" xfId="0" applyFont="1" applyAlignment="1">
      <alignment horizontal="right" textRotation="90"/>
    </xf>
    <xf numFmtId="0" fontId="9" fillId="0" borderId="0" xfId="0" applyFont="1" applyAlignment="1">
      <alignment horizontal="left" textRotation="90"/>
    </xf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normální_List1" xfId="1" xr:uid="{03264732-AA1A-43B5-ADA8-75617BA79DA2}"/>
    <cellStyle name="Standard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89087</xdr:colOff>
      <xdr:row>11</xdr:row>
      <xdr:rowOff>185457</xdr:rowOff>
    </xdr:from>
    <xdr:to>
      <xdr:col>18</xdr:col>
      <xdr:colOff>498661</xdr:colOff>
      <xdr:row>34</xdr:row>
      <xdr:rowOff>90207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EEB741F6-2AD3-4764-B2B7-A40578FC3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4612" y="2709582"/>
          <a:ext cx="1628774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59</xdr:row>
      <xdr:rowOff>38100</xdr:rowOff>
    </xdr:from>
    <xdr:to>
      <xdr:col>19</xdr:col>
      <xdr:colOff>409575</xdr:colOff>
      <xdr:row>62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E8D422F-F279-4170-9391-3C6573E16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00" b="14000"/>
        <a:stretch>
          <a:fillRect/>
        </a:stretch>
      </xdr:blipFill>
      <xdr:spPr bwMode="auto">
        <a:xfrm>
          <a:off x="11201400" y="12887325"/>
          <a:ext cx="952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338417</xdr:colOff>
      <xdr:row>35</xdr:row>
      <xdr:rowOff>133350</xdr:rowOff>
    </xdr:from>
    <xdr:to>
      <xdr:col>11</xdr:col>
      <xdr:colOff>90767</xdr:colOff>
      <xdr:row>43</xdr:row>
      <xdr:rowOff>123825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C5766B51-A24F-4ABC-AEEF-22F80258B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667" y="8191500"/>
          <a:ext cx="1571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295275</xdr:colOff>
      <xdr:row>36</xdr:row>
      <xdr:rowOff>180975</xdr:rowOff>
    </xdr:from>
    <xdr:to>
      <xdr:col>15</xdr:col>
      <xdr:colOff>361950</xdr:colOff>
      <xdr:row>43</xdr:row>
      <xdr:rowOff>66675</xdr:rowOff>
    </xdr:to>
    <xdr:pic>
      <xdr:nvPicPr>
        <xdr:cNvPr id="5" name="Obrázek 8">
          <a:extLst>
            <a:ext uri="{FF2B5EF4-FFF2-40B4-BE49-F238E27FC236}">
              <a16:creationId xmlns:a16="http://schemas.microsoft.com/office/drawing/2014/main" id="{8B8370B6-2ECC-4B11-A7CB-C763335D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8439150"/>
          <a:ext cx="21240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171450</xdr:colOff>
      <xdr:row>22</xdr:row>
      <xdr:rowOff>523875</xdr:rowOff>
    </xdr:from>
    <xdr:to>
      <xdr:col>22</xdr:col>
      <xdr:colOff>552449</xdr:colOff>
      <xdr:row>34</xdr:row>
      <xdr:rowOff>66674</xdr:rowOff>
    </xdr:to>
    <xdr:pic>
      <xdr:nvPicPr>
        <xdr:cNvPr id="6" name="Picture 2045">
          <a:extLst>
            <a:ext uri="{FF2B5EF4-FFF2-40B4-BE49-F238E27FC236}">
              <a16:creationId xmlns:a16="http://schemas.microsoft.com/office/drawing/2014/main" id="{66B0D6C0-FC6B-4DBD-BAD4-33266DCB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5210175"/>
          <a:ext cx="990599" cy="264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409575</xdr:colOff>
      <xdr:row>3</xdr:row>
      <xdr:rowOff>142875</xdr:rowOff>
    </xdr:from>
    <xdr:to>
      <xdr:col>23</xdr:col>
      <xdr:colOff>447675</xdr:colOff>
      <xdr:row>21</xdr:row>
      <xdr:rowOff>142875</xdr:rowOff>
    </xdr:to>
    <xdr:grpSp>
      <xdr:nvGrpSpPr>
        <xdr:cNvPr id="7" name="Skupina 25">
          <a:extLst>
            <a:ext uri="{FF2B5EF4-FFF2-40B4-BE49-F238E27FC236}">
              <a16:creationId xmlns:a16="http://schemas.microsoft.com/office/drawing/2014/main" id="{C917D030-0A33-453F-960B-92C15A2BE4F7}"/>
            </a:ext>
          </a:extLst>
        </xdr:cNvPr>
        <xdr:cNvGrpSpPr>
          <a:grpSpLocks/>
        </xdr:cNvGrpSpPr>
      </xdr:nvGrpSpPr>
      <xdr:grpSpPr bwMode="auto">
        <a:xfrm>
          <a:off x="12153900" y="838200"/>
          <a:ext cx="2476500" cy="3790950"/>
          <a:chOff x="13277229" y="847725"/>
          <a:chExt cx="2562845" cy="3867150"/>
        </a:xfrm>
      </xdr:grpSpPr>
      <xdr:pic>
        <xdr:nvPicPr>
          <xdr:cNvPr id="8" name="Picture 1219">
            <a:extLst>
              <a:ext uri="{FF2B5EF4-FFF2-40B4-BE49-F238E27FC236}">
                <a16:creationId xmlns:a16="http://schemas.microsoft.com/office/drawing/2014/main" id="{74205E5C-A8DA-6EF1-0ECD-974B7CCEAC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77229" y="847725"/>
            <a:ext cx="2562845" cy="386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9" name="Skupina 10">
            <a:extLst>
              <a:ext uri="{FF2B5EF4-FFF2-40B4-BE49-F238E27FC236}">
                <a16:creationId xmlns:a16="http://schemas.microsoft.com/office/drawing/2014/main" id="{647E6F8C-0B02-7648-DC56-E58693A5DD11}"/>
              </a:ext>
            </a:extLst>
          </xdr:cNvPr>
          <xdr:cNvGrpSpPr>
            <a:grpSpLocks/>
          </xdr:cNvGrpSpPr>
        </xdr:nvGrpSpPr>
        <xdr:grpSpPr bwMode="auto">
          <a:xfrm>
            <a:off x="13758257" y="4086264"/>
            <a:ext cx="886334" cy="596782"/>
            <a:chOff x="15873753" y="3945013"/>
            <a:chExt cx="837434" cy="682630"/>
          </a:xfrm>
        </xdr:grpSpPr>
        <xdr:sp macro="" textlink="">
          <xdr:nvSpPr>
            <xdr:cNvPr id="10" name="Ovál 123">
              <a:extLst>
                <a:ext uri="{FF2B5EF4-FFF2-40B4-BE49-F238E27FC236}">
                  <a16:creationId xmlns:a16="http://schemas.microsoft.com/office/drawing/2014/main" id="{163B7125-9F90-C1C6-6505-88EB711E0D52}"/>
                </a:ext>
              </a:extLst>
            </xdr:cNvPr>
            <xdr:cNvSpPr/>
          </xdr:nvSpPr>
          <xdr:spPr>
            <a:xfrm>
              <a:off x="15875614" y="3943693"/>
              <a:ext cx="661242" cy="686591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1" name="TextovéPole 10">
              <a:extLst>
                <a:ext uri="{FF2B5EF4-FFF2-40B4-BE49-F238E27FC236}">
                  <a16:creationId xmlns:a16="http://schemas.microsoft.com/office/drawing/2014/main" id="{782AB89A-5F7B-D13E-5BD4-F92F5CE9C9D9}"/>
                </a:ext>
              </a:extLst>
            </xdr:cNvPr>
            <xdr:cNvSpPr txBox="1"/>
          </xdr:nvSpPr>
          <xdr:spPr>
            <a:xfrm>
              <a:off x="16527543" y="3977460"/>
              <a:ext cx="186265" cy="281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oneCellAnchor>
    <xdr:from>
      <xdr:col>16</xdr:col>
      <xdr:colOff>207065</xdr:colOff>
      <xdr:row>32</xdr:row>
      <xdr:rowOff>140379</xdr:rowOff>
    </xdr:from>
    <xdr:ext cx="431669" cy="254557"/>
    <xdr:sp macro="" textlink="Obrázky!Y22">
      <xdr:nvSpPr>
        <xdr:cNvPr id="12" name="TextovéPole 11">
          <a:extLst>
            <a:ext uri="{FF2B5EF4-FFF2-40B4-BE49-F238E27FC236}">
              <a16:creationId xmlns:a16="http://schemas.microsoft.com/office/drawing/2014/main" id="{CEC25956-8B65-4BCB-B9B0-63C8D9E19ACC}"/>
            </a:ext>
          </a:extLst>
        </xdr:cNvPr>
        <xdr:cNvSpPr txBox="1"/>
      </xdr:nvSpPr>
      <xdr:spPr>
        <a:xfrm>
          <a:off x="10122590" y="7550829"/>
          <a:ext cx="43166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D28A0100-D552-45D9-BA37-0EA4BF4BDFC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250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15</xdr:col>
      <xdr:colOff>514350</xdr:colOff>
      <xdr:row>41</xdr:row>
      <xdr:rowOff>171450</xdr:rowOff>
    </xdr:from>
    <xdr:to>
      <xdr:col>17</xdr:col>
      <xdr:colOff>9525</xdr:colOff>
      <xdr:row>43</xdr:row>
      <xdr:rowOff>19050</xdr:rowOff>
    </xdr:to>
    <xdr:pic>
      <xdr:nvPicPr>
        <xdr:cNvPr id="13" name="Picture 249">
          <a:extLst>
            <a:ext uri="{FF2B5EF4-FFF2-40B4-BE49-F238E27FC236}">
              <a16:creationId xmlns:a16="http://schemas.microsoft.com/office/drawing/2014/main" id="{CBB252D1-47F4-4FCD-8584-F6481D53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9429750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466725</xdr:colOff>
      <xdr:row>39</xdr:row>
      <xdr:rowOff>190500</xdr:rowOff>
    </xdr:from>
    <xdr:to>
      <xdr:col>17</xdr:col>
      <xdr:colOff>38100</xdr:colOff>
      <xdr:row>41</xdr:row>
      <xdr:rowOff>47626</xdr:rowOff>
    </xdr:to>
    <xdr:pic>
      <xdr:nvPicPr>
        <xdr:cNvPr id="14" name="Picture 250">
          <a:extLst>
            <a:ext uri="{FF2B5EF4-FFF2-40B4-BE49-F238E27FC236}">
              <a16:creationId xmlns:a16="http://schemas.microsoft.com/office/drawing/2014/main" id="{4EEDCB9E-2643-45F4-85BA-1CBAB423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9048750"/>
          <a:ext cx="790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476250</xdr:colOff>
      <xdr:row>41</xdr:row>
      <xdr:rowOff>180975</xdr:rowOff>
    </xdr:from>
    <xdr:to>
      <xdr:col>22</xdr:col>
      <xdr:colOff>576542</xdr:colOff>
      <xdr:row>43</xdr:row>
      <xdr:rowOff>9526</xdr:rowOff>
    </xdr:to>
    <xdr:pic>
      <xdr:nvPicPr>
        <xdr:cNvPr id="15" name="Picture 251">
          <a:extLst>
            <a:ext uri="{FF2B5EF4-FFF2-40B4-BE49-F238E27FC236}">
              <a16:creationId xmlns:a16="http://schemas.microsoft.com/office/drawing/2014/main" id="{7FEBAACC-CDDA-4E69-A660-6915495B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9439275"/>
          <a:ext cx="709892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423582</xdr:colOff>
          <xdr:row>13</xdr:row>
          <xdr:rowOff>34307</xdr:rowOff>
        </xdr:from>
        <xdr:to>
          <xdr:col>7</xdr:col>
          <xdr:colOff>481853</xdr:colOff>
          <xdr:row>34</xdr:row>
          <xdr:rowOff>189094</xdr:rowOff>
        </xdr:to>
        <xdr:pic>
          <xdr:nvPicPr>
            <xdr:cNvPr id="16" name="Obrázek 15">
              <a:extLst>
                <a:ext uri="{FF2B5EF4-FFF2-40B4-BE49-F238E27FC236}">
                  <a16:creationId xmlns:a16="http://schemas.microsoft.com/office/drawing/2014/main" id="{EFF72565-B6C5-4EB5-AD28-F7218FED09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otor" spid="_x0000_s1028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614082" y="2968007"/>
              <a:ext cx="4315946" cy="501253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571502</xdr:colOff>
      <xdr:row>36</xdr:row>
      <xdr:rowOff>134469</xdr:rowOff>
    </xdr:from>
    <xdr:to>
      <xdr:col>6</xdr:col>
      <xdr:colOff>403413</xdr:colOff>
      <xdr:row>41</xdr:row>
      <xdr:rowOff>164908</xdr:rowOff>
    </xdr:to>
    <xdr:pic>
      <xdr:nvPicPr>
        <xdr:cNvPr id="17" name="Obrázek 2">
          <a:extLst>
            <a:ext uri="{FF2B5EF4-FFF2-40B4-BE49-F238E27FC236}">
              <a16:creationId xmlns:a16="http://schemas.microsoft.com/office/drawing/2014/main" id="{5CBA1CCF-E719-4F20-B956-BA5FE499D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2" y="8392644"/>
          <a:ext cx="2965636" cy="103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469555</xdr:colOff>
      <xdr:row>37</xdr:row>
      <xdr:rowOff>95741</xdr:rowOff>
    </xdr:from>
    <xdr:ext cx="254557" cy="431669"/>
    <xdr:sp macro="" textlink="Obrázky!Y22">
      <xdr:nvSpPr>
        <xdr:cNvPr id="18" name="TextovéPole 17">
          <a:extLst>
            <a:ext uri="{FF2B5EF4-FFF2-40B4-BE49-F238E27FC236}">
              <a16:creationId xmlns:a16="http://schemas.microsoft.com/office/drawing/2014/main" id="{09AC34C8-E7CE-4FA8-9BCE-D62654566232}"/>
            </a:ext>
          </a:extLst>
        </xdr:cNvPr>
        <xdr:cNvSpPr txBox="1"/>
      </xdr:nvSpPr>
      <xdr:spPr>
        <a:xfrm rot="16200000">
          <a:off x="1085849" y="8642497"/>
          <a:ext cx="43166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D28A0100-D552-45D9-BA37-0EA4BF4BDFC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250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590550</xdr:colOff>
      <xdr:row>34</xdr:row>
      <xdr:rowOff>100293</xdr:rowOff>
    </xdr:from>
    <xdr:ext cx="829235" cy="264560"/>
    <xdr:sp macro="" textlink="$F$52">
      <xdr:nvSpPr>
        <xdr:cNvPr id="19" name="TextovéPole 18">
          <a:extLst>
            <a:ext uri="{FF2B5EF4-FFF2-40B4-BE49-F238E27FC236}">
              <a16:creationId xmlns:a16="http://schemas.microsoft.com/office/drawing/2014/main" id="{B04A3BB4-95DB-4B1A-AD9E-AF7F02C22161}"/>
            </a:ext>
          </a:extLst>
        </xdr:cNvPr>
        <xdr:cNvSpPr txBox="1"/>
      </xdr:nvSpPr>
      <xdr:spPr>
        <a:xfrm>
          <a:off x="2295525" y="7891743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29CC43FD-AFB6-41C1-852D-2AF44F822143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164074</xdr:colOff>
      <xdr:row>24</xdr:row>
      <xdr:rowOff>109869</xdr:rowOff>
    </xdr:from>
    <xdr:ext cx="254557" cy="829235"/>
    <xdr:sp macro="" textlink="$F$53">
      <xdr:nvSpPr>
        <xdr:cNvPr id="20" name="TextovéPole 19">
          <a:extLst>
            <a:ext uri="{FF2B5EF4-FFF2-40B4-BE49-F238E27FC236}">
              <a16:creationId xmlns:a16="http://schemas.microsoft.com/office/drawing/2014/main" id="{678F3883-2348-46B5-9123-0178162B2FF1}"/>
            </a:ext>
          </a:extLst>
        </xdr:cNvPr>
        <xdr:cNvSpPr txBox="1"/>
      </xdr:nvSpPr>
      <xdr:spPr>
        <a:xfrm rot="16200000">
          <a:off x="581585" y="6226508"/>
          <a:ext cx="82923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0278C347-D5AA-4EA2-BA80-ED1B7B37D5B1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390526</xdr:colOff>
      <xdr:row>21</xdr:row>
      <xdr:rowOff>1</xdr:rowOff>
    </xdr:from>
    <xdr:ext cx="264560" cy="1372161"/>
    <xdr:sp macro="" textlink="$F$54">
      <xdr:nvSpPr>
        <xdr:cNvPr id="21" name="TextovéPole 20">
          <a:extLst>
            <a:ext uri="{FF2B5EF4-FFF2-40B4-BE49-F238E27FC236}">
              <a16:creationId xmlns:a16="http://schemas.microsoft.com/office/drawing/2014/main" id="{D5EAFA17-CF1D-4771-9679-6EAC97575820}"/>
            </a:ext>
          </a:extLst>
        </xdr:cNvPr>
        <xdr:cNvSpPr txBox="1"/>
      </xdr:nvSpPr>
      <xdr:spPr>
        <a:xfrm rot="16200000">
          <a:off x="27225" y="5040077"/>
          <a:ext cx="13721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51F3857F-1112-461B-86E0-975BBBFCBCD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E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133350</xdr:colOff>
      <xdr:row>18</xdr:row>
      <xdr:rowOff>190501</xdr:rowOff>
    </xdr:from>
    <xdr:ext cx="264560" cy="1000124"/>
    <xdr:sp macro="" textlink="$F$56">
      <xdr:nvSpPr>
        <xdr:cNvPr id="22" name="TextovéPole 21">
          <a:extLst>
            <a:ext uri="{FF2B5EF4-FFF2-40B4-BE49-F238E27FC236}">
              <a16:creationId xmlns:a16="http://schemas.microsoft.com/office/drawing/2014/main" id="{BAF4A32C-7E15-45BE-8229-B878C7EF0872}"/>
            </a:ext>
          </a:extLst>
        </xdr:cNvPr>
        <xdr:cNvSpPr txBox="1"/>
      </xdr:nvSpPr>
      <xdr:spPr>
        <a:xfrm rot="16200000">
          <a:off x="4213743" y="4444483"/>
          <a:ext cx="10001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A5DE901D-A152-4E1F-88A0-C7511A0B4F0B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J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438150</xdr:colOff>
      <xdr:row>20</xdr:row>
      <xdr:rowOff>152400</xdr:rowOff>
    </xdr:from>
    <xdr:ext cx="264560" cy="1000124"/>
    <xdr:sp macro="" textlink="Obrázky!Y23">
      <xdr:nvSpPr>
        <xdr:cNvPr id="23" name="TextovéPole 22">
          <a:extLst>
            <a:ext uri="{FF2B5EF4-FFF2-40B4-BE49-F238E27FC236}">
              <a16:creationId xmlns:a16="http://schemas.microsoft.com/office/drawing/2014/main" id="{3E8FF112-2576-44A7-8880-5CAEDC139D94}"/>
            </a:ext>
          </a:extLst>
        </xdr:cNvPr>
        <xdr:cNvSpPr txBox="1"/>
      </xdr:nvSpPr>
      <xdr:spPr>
        <a:xfrm rot="16200000">
          <a:off x="3908943" y="4806432"/>
          <a:ext cx="10001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5B1D1DE5-6F92-487B-86FA-28DB59ED2AB3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A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146687</xdr:colOff>
      <xdr:row>22</xdr:row>
      <xdr:rowOff>171450</xdr:rowOff>
    </xdr:from>
    <xdr:ext cx="254557" cy="24765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1856D177-F108-4BF1-B4B4-828604149558}"/>
            </a:ext>
          </a:extLst>
        </xdr:cNvPr>
        <xdr:cNvSpPr txBox="1"/>
      </xdr:nvSpPr>
      <xdr:spPr>
        <a:xfrm rot="16200000">
          <a:off x="854991" y="4854296"/>
          <a:ext cx="2476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lang="cs-CZ" sz="1100" b="1" i="0" u="none" strike="noStrik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</a:t>
          </a:r>
        </a:p>
      </xdr:txBody>
    </xdr:sp>
    <xdr:clientData/>
  </xdr:oneCellAnchor>
  <xdr:oneCellAnchor>
    <xdr:from>
      <xdr:col>18</xdr:col>
      <xdr:colOff>357427</xdr:colOff>
      <xdr:row>24</xdr:row>
      <xdr:rowOff>57151</xdr:rowOff>
    </xdr:from>
    <xdr:ext cx="254557" cy="829235"/>
    <xdr:sp macro="" textlink="$F$53">
      <xdr:nvSpPr>
        <xdr:cNvPr id="25" name="TextovéPole 24">
          <a:extLst>
            <a:ext uri="{FF2B5EF4-FFF2-40B4-BE49-F238E27FC236}">
              <a16:creationId xmlns:a16="http://schemas.microsoft.com/office/drawing/2014/main" id="{5D6B555F-DA3F-44B7-95E0-8F9DE45E710B}"/>
            </a:ext>
          </a:extLst>
        </xdr:cNvPr>
        <xdr:cNvSpPr txBox="1"/>
      </xdr:nvSpPr>
      <xdr:spPr>
        <a:xfrm rot="16200000">
          <a:off x="11204813" y="6173790"/>
          <a:ext cx="82923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0278C347-D5AA-4EA2-BA80-ED1B7B37D5B1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18</xdr:col>
      <xdr:colOff>381002</xdr:colOff>
      <xdr:row>17</xdr:row>
      <xdr:rowOff>123825</xdr:rowOff>
    </xdr:from>
    <xdr:ext cx="264560" cy="829235"/>
    <xdr:sp macro="" textlink="$F$55">
      <xdr:nvSpPr>
        <xdr:cNvPr id="26" name="TextovéPole 25">
          <a:extLst>
            <a:ext uri="{FF2B5EF4-FFF2-40B4-BE49-F238E27FC236}">
              <a16:creationId xmlns:a16="http://schemas.microsoft.com/office/drawing/2014/main" id="{223673BB-9068-4A64-B9CA-AC289AD6E01F}"/>
            </a:ext>
          </a:extLst>
        </xdr:cNvPr>
        <xdr:cNvSpPr txBox="1"/>
      </xdr:nvSpPr>
      <xdr:spPr>
        <a:xfrm rot="16200000">
          <a:off x="11233389" y="4092338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D7DB4F75-461A-4AD3-B8EF-2D35961E9CC8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F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219075</xdr:colOff>
      <xdr:row>10</xdr:row>
      <xdr:rowOff>142875</xdr:rowOff>
    </xdr:from>
    <xdr:ext cx="1266825" cy="264560"/>
    <xdr:sp macro="" textlink="Obrázky!Y24">
      <xdr:nvSpPr>
        <xdr:cNvPr id="27" name="TextovéPole 26">
          <a:extLst>
            <a:ext uri="{FF2B5EF4-FFF2-40B4-BE49-F238E27FC236}">
              <a16:creationId xmlns:a16="http://schemas.microsoft.com/office/drawing/2014/main" id="{DA574BF0-AA08-44C2-A468-F42597B1A620}"/>
            </a:ext>
          </a:extLst>
        </xdr:cNvPr>
        <xdr:cNvSpPr txBox="1"/>
      </xdr:nvSpPr>
      <xdr:spPr>
        <a:xfrm>
          <a:off x="10134600" y="2476500"/>
          <a:ext cx="1266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197044C0-DAFF-4F6E-988F-27F5BCC9ED9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D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95250</xdr:colOff>
      <xdr:row>32</xdr:row>
      <xdr:rowOff>185977</xdr:rowOff>
    </xdr:from>
    <xdr:ext cx="829235" cy="254557"/>
    <xdr:sp macro="" textlink="$F$57">
      <xdr:nvSpPr>
        <xdr:cNvPr id="28" name="TextovéPole 27">
          <a:extLst>
            <a:ext uri="{FF2B5EF4-FFF2-40B4-BE49-F238E27FC236}">
              <a16:creationId xmlns:a16="http://schemas.microsoft.com/office/drawing/2014/main" id="{AE287580-E4AE-4327-82F3-725F0B30683D}"/>
            </a:ext>
          </a:extLst>
        </xdr:cNvPr>
        <xdr:cNvSpPr txBox="1"/>
      </xdr:nvSpPr>
      <xdr:spPr>
        <a:xfrm>
          <a:off x="800100" y="7596427"/>
          <a:ext cx="82923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367F202A-8992-46B0-B68B-E69854319E5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57150</xdr:colOff>
      <xdr:row>33</xdr:row>
      <xdr:rowOff>5002</xdr:rowOff>
    </xdr:from>
    <xdr:ext cx="829235" cy="254557"/>
    <xdr:sp macro="" textlink="$F$58">
      <xdr:nvSpPr>
        <xdr:cNvPr id="29" name="TextovéPole 28">
          <a:extLst>
            <a:ext uri="{FF2B5EF4-FFF2-40B4-BE49-F238E27FC236}">
              <a16:creationId xmlns:a16="http://schemas.microsoft.com/office/drawing/2014/main" id="{D7830663-68D7-4AA3-BE00-0C0418EC75E9}"/>
            </a:ext>
          </a:extLst>
        </xdr:cNvPr>
        <xdr:cNvSpPr txBox="1"/>
      </xdr:nvSpPr>
      <xdr:spPr>
        <a:xfrm>
          <a:off x="3895725" y="7605952"/>
          <a:ext cx="82923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3BB45765-3279-4D8A-A204-44D811AEAAC2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R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409575</xdr:colOff>
      <xdr:row>41</xdr:row>
      <xdr:rowOff>95250</xdr:rowOff>
    </xdr:from>
    <xdr:ext cx="1428750" cy="264560"/>
    <xdr:sp macro="" textlink="Obrázky!Y13">
      <xdr:nvSpPr>
        <xdr:cNvPr id="30" name="TextovéPole 29">
          <a:extLst>
            <a:ext uri="{FF2B5EF4-FFF2-40B4-BE49-F238E27FC236}">
              <a16:creationId xmlns:a16="http://schemas.microsoft.com/office/drawing/2014/main" id="{7D99AC91-0C33-4871-B51F-79053AE73AE2}"/>
            </a:ext>
          </a:extLst>
        </xdr:cNvPr>
        <xdr:cNvSpPr txBox="1"/>
      </xdr:nvSpPr>
      <xdr:spPr>
        <a:xfrm>
          <a:off x="2114550" y="9353550"/>
          <a:ext cx="142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08407D82-5923-4C45-A5A5-AF6CD186B938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L+W+R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1</xdr:colOff>
      <xdr:row>35</xdr:row>
      <xdr:rowOff>43207</xdr:rowOff>
    </xdr:from>
    <xdr:ext cx="1828800" cy="311496"/>
    <xdr:sp macro="" textlink="$AG$105">
      <xdr:nvSpPr>
        <xdr:cNvPr id="31" name="TextovéPole 30">
          <a:extLst>
            <a:ext uri="{FF2B5EF4-FFF2-40B4-BE49-F238E27FC236}">
              <a16:creationId xmlns:a16="http://schemas.microsoft.com/office/drawing/2014/main" id="{3430A40E-9143-442B-B613-4B71EDB48CA3}"/>
            </a:ext>
          </a:extLst>
        </xdr:cNvPr>
        <xdr:cNvSpPr txBox="1"/>
      </xdr:nvSpPr>
      <xdr:spPr>
        <a:xfrm>
          <a:off x="12353926" y="8101357"/>
          <a:ext cx="18288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r"/>
          <a:fld id="{09D1A27D-C0E5-4360-B2DC-E9BC1EAF87A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Angebot/Bestellung:</a:t>
          </a:fld>
          <a:endParaRPr lang="cs-CZ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28575</xdr:colOff>
      <xdr:row>38</xdr:row>
      <xdr:rowOff>33682</xdr:rowOff>
    </xdr:from>
    <xdr:ext cx="1781175" cy="311496"/>
    <xdr:sp macro="" textlink="$AG$106">
      <xdr:nvSpPr>
        <xdr:cNvPr id="32" name="TextovéPole 31">
          <a:extLst>
            <a:ext uri="{FF2B5EF4-FFF2-40B4-BE49-F238E27FC236}">
              <a16:creationId xmlns:a16="http://schemas.microsoft.com/office/drawing/2014/main" id="{7C28FB21-11A4-448F-988E-170D0A46F6D5}"/>
            </a:ext>
          </a:extLst>
        </xdr:cNvPr>
        <xdr:cNvSpPr txBox="1"/>
      </xdr:nvSpPr>
      <xdr:spPr>
        <a:xfrm>
          <a:off x="12382500" y="8691907"/>
          <a:ext cx="17811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r"/>
          <a:fld id="{632EFAA0-6ADC-4D0A-A07C-36EF0E9A5590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Position:</a:t>
          </a:fld>
          <a:endParaRPr lang="cs-CZ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4F13CBB-DCF8-4C19-92C5-043BBB87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152400</xdr:rowOff>
    </xdr:from>
    <xdr:to>
      <xdr:col>6</xdr:col>
      <xdr:colOff>76200</xdr:colOff>
      <xdr:row>37</xdr:row>
      <xdr:rowOff>28575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F00CC89-4A88-4754-8E47-246AE6DB5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7690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66673</xdr:colOff>
      <xdr:row>28</xdr:row>
      <xdr:rowOff>190498</xdr:rowOff>
    </xdr:from>
    <xdr:ext cx="829235" cy="264560"/>
    <xdr:sp macro="" textlink="general!$F$52">
      <xdr:nvSpPr>
        <xdr:cNvPr id="4" name="TextovéPole 3">
          <a:extLst>
            <a:ext uri="{FF2B5EF4-FFF2-40B4-BE49-F238E27FC236}">
              <a16:creationId xmlns:a16="http://schemas.microsoft.com/office/drawing/2014/main" id="{6427CE0C-9C81-4F22-883F-7AA2C8630188}"/>
            </a:ext>
          </a:extLst>
        </xdr:cNvPr>
        <xdr:cNvSpPr txBox="1"/>
      </xdr:nvSpPr>
      <xdr:spPr>
        <a:xfrm>
          <a:off x="2505073" y="5524498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8D041F1B-B2CF-424A-ABE0-7DEF4A54087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18</xdr:row>
      <xdr:rowOff>95248</xdr:rowOff>
    </xdr:from>
    <xdr:ext cx="264560" cy="829235"/>
    <xdr:sp macro="" textlink="general!$F$53">
      <xdr:nvSpPr>
        <xdr:cNvPr id="5" name="TextovéPole 4">
          <a:extLst>
            <a:ext uri="{FF2B5EF4-FFF2-40B4-BE49-F238E27FC236}">
              <a16:creationId xmlns:a16="http://schemas.microsoft.com/office/drawing/2014/main" id="{D15011BC-DE43-49B9-9909-BD766423EECD}"/>
            </a:ext>
          </a:extLst>
        </xdr:cNvPr>
        <xdr:cNvSpPr txBox="1"/>
      </xdr:nvSpPr>
      <xdr:spPr>
        <a:xfrm rot="16200000">
          <a:off x="632062" y="3806586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C8557B64-E70E-4B29-9EEE-9A205F73A4F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323851</xdr:colOff>
      <xdr:row>6</xdr:row>
      <xdr:rowOff>171450</xdr:rowOff>
    </xdr:from>
    <xdr:ext cx="264560" cy="829235"/>
    <xdr:sp macro="" textlink="general!$F$56">
      <xdr:nvSpPr>
        <xdr:cNvPr id="6" name="TextovéPole 5">
          <a:extLst>
            <a:ext uri="{FF2B5EF4-FFF2-40B4-BE49-F238E27FC236}">
              <a16:creationId xmlns:a16="http://schemas.microsoft.com/office/drawing/2014/main" id="{A2472170-51B0-4202-8874-4F6273996A61}"/>
            </a:ext>
          </a:extLst>
        </xdr:cNvPr>
        <xdr:cNvSpPr txBox="1"/>
      </xdr:nvSpPr>
      <xdr:spPr>
        <a:xfrm rot="16200000">
          <a:off x="651113" y="1596788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A0FCEBFA-4446-47AF-AC07-8CDD2394F3B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J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571500</xdr:colOff>
      <xdr:row>10</xdr:row>
      <xdr:rowOff>9524</xdr:rowOff>
    </xdr:from>
    <xdr:ext cx="264560" cy="829235"/>
    <xdr:sp macro="" textlink="general!I16">
      <xdr:nvSpPr>
        <xdr:cNvPr id="7" name="TextovéPole 6">
          <a:extLst>
            <a:ext uri="{FF2B5EF4-FFF2-40B4-BE49-F238E27FC236}">
              <a16:creationId xmlns:a16="http://schemas.microsoft.com/office/drawing/2014/main" id="{D36606F3-126E-4EF5-94F1-FCB4CA729436}"/>
            </a:ext>
          </a:extLst>
        </xdr:cNvPr>
        <xdr:cNvSpPr txBox="1"/>
      </xdr:nvSpPr>
      <xdr:spPr>
        <a:xfrm rot="16200000">
          <a:off x="898762" y="2196862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7374C2DA-B25E-47BA-82EE-F8C5712A1092}" type="TxLink">
            <a:rPr lang="en-US" sz="11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Z =  NICHT ERFORDELICH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1093170-ED76-456A-A22D-5FC3B783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31</xdr:row>
      <xdr:rowOff>47625</xdr:rowOff>
    </xdr:from>
    <xdr:to>
      <xdr:col>6</xdr:col>
      <xdr:colOff>104775</xdr:colOff>
      <xdr:row>38</xdr:row>
      <xdr:rowOff>114300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ED5B7DF-82A0-46C9-AE3E-24068838F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9531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47625</xdr:colOff>
      <xdr:row>29</xdr:row>
      <xdr:rowOff>19050</xdr:rowOff>
    </xdr:from>
    <xdr:ext cx="829235" cy="264560"/>
    <xdr:sp macro="" textlink="general!$F$52">
      <xdr:nvSpPr>
        <xdr:cNvPr id="4" name="TextovéPole 3">
          <a:extLst>
            <a:ext uri="{FF2B5EF4-FFF2-40B4-BE49-F238E27FC236}">
              <a16:creationId xmlns:a16="http://schemas.microsoft.com/office/drawing/2014/main" id="{991A9DE7-D62F-4464-BC86-4DA45A465EC0}"/>
            </a:ext>
          </a:extLst>
        </xdr:cNvPr>
        <xdr:cNvSpPr txBox="1"/>
      </xdr:nvSpPr>
      <xdr:spPr>
        <a:xfrm>
          <a:off x="2486025" y="5543550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8D041F1B-B2CF-424A-ABE0-7DEF4A54087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285752</xdr:colOff>
      <xdr:row>18</xdr:row>
      <xdr:rowOff>114300</xdr:rowOff>
    </xdr:from>
    <xdr:ext cx="264560" cy="829235"/>
    <xdr:sp macro="" textlink="general!$F$53">
      <xdr:nvSpPr>
        <xdr:cNvPr id="5" name="TextovéPole 4">
          <a:extLst>
            <a:ext uri="{FF2B5EF4-FFF2-40B4-BE49-F238E27FC236}">
              <a16:creationId xmlns:a16="http://schemas.microsoft.com/office/drawing/2014/main" id="{98608F9F-72E1-4C7C-B779-C3E2F8865D50}"/>
            </a:ext>
          </a:extLst>
        </xdr:cNvPr>
        <xdr:cNvSpPr txBox="1"/>
      </xdr:nvSpPr>
      <xdr:spPr>
        <a:xfrm rot="16200000">
          <a:off x="613014" y="3825638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C8557B64-E70E-4B29-9EEE-9A205F73A4F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304803</xdr:colOff>
      <xdr:row>7</xdr:row>
      <xdr:rowOff>2</xdr:rowOff>
    </xdr:from>
    <xdr:ext cx="264560" cy="829235"/>
    <xdr:sp macro="" textlink="general!$F$56">
      <xdr:nvSpPr>
        <xdr:cNvPr id="6" name="TextovéPole 5">
          <a:extLst>
            <a:ext uri="{FF2B5EF4-FFF2-40B4-BE49-F238E27FC236}">
              <a16:creationId xmlns:a16="http://schemas.microsoft.com/office/drawing/2014/main" id="{B26367D9-77EB-4693-A441-5B04FC7FCCA4}"/>
            </a:ext>
          </a:extLst>
        </xdr:cNvPr>
        <xdr:cNvSpPr txBox="1"/>
      </xdr:nvSpPr>
      <xdr:spPr>
        <a:xfrm rot="16200000">
          <a:off x="632065" y="1615840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A0FCEBFA-4446-47AF-AC07-8CDD2394F3B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J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552451</xdr:colOff>
      <xdr:row>9</xdr:row>
      <xdr:rowOff>180976</xdr:rowOff>
    </xdr:from>
    <xdr:ext cx="264560" cy="829235"/>
    <xdr:sp macro="" textlink="general!I16">
      <xdr:nvSpPr>
        <xdr:cNvPr id="7" name="TextovéPole 6">
          <a:extLst>
            <a:ext uri="{FF2B5EF4-FFF2-40B4-BE49-F238E27FC236}">
              <a16:creationId xmlns:a16="http://schemas.microsoft.com/office/drawing/2014/main" id="{4EFFD294-99FD-4953-84AF-435302447D0D}"/>
            </a:ext>
          </a:extLst>
        </xdr:cNvPr>
        <xdr:cNvSpPr txBox="1"/>
      </xdr:nvSpPr>
      <xdr:spPr>
        <a:xfrm rot="16200000">
          <a:off x="879713" y="2177814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7374C2DA-B25E-47BA-82EE-F8C5712A1092}" type="TxLink">
            <a:rPr lang="en-US" sz="11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Z =  NICHT ERFORDELICH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37B7F00-E684-44C4-B177-8D838575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29</xdr:row>
      <xdr:rowOff>142875</xdr:rowOff>
    </xdr:from>
    <xdr:to>
      <xdr:col>6</xdr:col>
      <xdr:colOff>238125</xdr:colOff>
      <xdr:row>37</xdr:row>
      <xdr:rowOff>19050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3AC898A-9ABF-44E5-BC87-80680B548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66737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19048</xdr:colOff>
      <xdr:row>29</xdr:row>
      <xdr:rowOff>28573</xdr:rowOff>
    </xdr:from>
    <xdr:ext cx="829235" cy="264560"/>
    <xdr:sp macro="" textlink="general!$F$52">
      <xdr:nvSpPr>
        <xdr:cNvPr id="4" name="TextovéPole 3">
          <a:extLst>
            <a:ext uri="{FF2B5EF4-FFF2-40B4-BE49-F238E27FC236}">
              <a16:creationId xmlns:a16="http://schemas.microsoft.com/office/drawing/2014/main" id="{3C5E486E-4691-4CF8-A0D7-7A47B82CD458}"/>
            </a:ext>
          </a:extLst>
        </xdr:cNvPr>
        <xdr:cNvSpPr txBox="1"/>
      </xdr:nvSpPr>
      <xdr:spPr>
        <a:xfrm>
          <a:off x="2457448" y="5553073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8D041F1B-B2CF-424A-ABE0-7DEF4A54087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257175</xdr:colOff>
      <xdr:row>18</xdr:row>
      <xdr:rowOff>123823</xdr:rowOff>
    </xdr:from>
    <xdr:ext cx="264560" cy="829235"/>
    <xdr:sp macro="" textlink="general!$F$53">
      <xdr:nvSpPr>
        <xdr:cNvPr id="5" name="TextovéPole 4">
          <a:extLst>
            <a:ext uri="{FF2B5EF4-FFF2-40B4-BE49-F238E27FC236}">
              <a16:creationId xmlns:a16="http://schemas.microsoft.com/office/drawing/2014/main" id="{7A0406D7-F009-43FB-A197-DCCD99CEC76F}"/>
            </a:ext>
          </a:extLst>
        </xdr:cNvPr>
        <xdr:cNvSpPr txBox="1"/>
      </xdr:nvSpPr>
      <xdr:spPr>
        <a:xfrm rot="16200000">
          <a:off x="584437" y="3835161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C8557B64-E70E-4B29-9EEE-9A205F73A4F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276226</xdr:colOff>
      <xdr:row>7</xdr:row>
      <xdr:rowOff>9525</xdr:rowOff>
    </xdr:from>
    <xdr:ext cx="264560" cy="829235"/>
    <xdr:sp macro="" textlink="general!$F$56">
      <xdr:nvSpPr>
        <xdr:cNvPr id="6" name="TextovéPole 5">
          <a:extLst>
            <a:ext uri="{FF2B5EF4-FFF2-40B4-BE49-F238E27FC236}">
              <a16:creationId xmlns:a16="http://schemas.microsoft.com/office/drawing/2014/main" id="{39B6E658-01BD-45C4-BD19-6C210D9F5EE7}"/>
            </a:ext>
          </a:extLst>
        </xdr:cNvPr>
        <xdr:cNvSpPr txBox="1"/>
      </xdr:nvSpPr>
      <xdr:spPr>
        <a:xfrm rot="16200000">
          <a:off x="603488" y="1625363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A0FCEBFA-4446-47AF-AC07-8CDD2394F3B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J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590550</xdr:colOff>
      <xdr:row>10</xdr:row>
      <xdr:rowOff>38100</xdr:rowOff>
    </xdr:from>
    <xdr:ext cx="264560" cy="829235"/>
    <xdr:sp macro="" textlink="general!I16">
      <xdr:nvSpPr>
        <xdr:cNvPr id="7" name="TextovéPole 6">
          <a:extLst>
            <a:ext uri="{FF2B5EF4-FFF2-40B4-BE49-F238E27FC236}">
              <a16:creationId xmlns:a16="http://schemas.microsoft.com/office/drawing/2014/main" id="{C8D7575B-C1EC-4E33-8CA6-B96AA9BC3AF1}"/>
            </a:ext>
          </a:extLst>
        </xdr:cNvPr>
        <xdr:cNvSpPr txBox="1"/>
      </xdr:nvSpPr>
      <xdr:spPr>
        <a:xfrm rot="16200000">
          <a:off x="917812" y="2225438"/>
          <a:ext cx="829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spAutoFit/>
        </a:bodyPr>
        <a:lstStyle/>
        <a:p>
          <a:pPr algn="ctr"/>
          <a:fld id="{7374C2DA-B25E-47BA-82EE-F8C5712A1092}" type="TxLink">
            <a:rPr lang="en-US" sz="11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Z =  NICHT ERFORDELICH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451571</xdr:colOff>
      <xdr:row>20</xdr:row>
      <xdr:rowOff>76200</xdr:rowOff>
    </xdr:from>
    <xdr:to>
      <xdr:col>19</xdr:col>
      <xdr:colOff>103086</xdr:colOff>
      <xdr:row>43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0E9081-2922-4291-9617-6513D1088C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81" t="24526" r="21201" b="23486"/>
        <a:stretch/>
      </xdr:blipFill>
      <xdr:spPr>
        <a:xfrm>
          <a:off x="7766771" y="3886200"/>
          <a:ext cx="3918715" cy="44672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1</xdr:rowOff>
    </xdr:from>
    <xdr:to>
      <xdr:col>9</xdr:col>
      <xdr:colOff>594985</xdr:colOff>
      <xdr:row>40</xdr:row>
      <xdr:rowOff>142876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016F56C-A0DC-49EE-9C6D-2D29C116D8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81" t="24526" r="21201" b="23486"/>
        <a:stretch/>
      </xdr:blipFill>
      <xdr:spPr>
        <a:xfrm>
          <a:off x="2438400" y="3619501"/>
          <a:ext cx="3642985" cy="41529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130752</xdr:colOff>
      <xdr:row>41</xdr:row>
      <xdr:rowOff>0</xdr:rowOff>
    </xdr:from>
    <xdr:to>
      <xdr:col>19</xdr:col>
      <xdr:colOff>456334</xdr:colOff>
      <xdr:row>68</xdr:row>
      <xdr:rowOff>95251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BBC9069-728E-4A35-9BA6-67A21CF0B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8" t="24717" r="21212" b="23200"/>
        <a:stretch/>
      </xdr:blipFill>
      <xdr:spPr>
        <a:xfrm>
          <a:off x="7445952" y="7820025"/>
          <a:ext cx="4592782" cy="5238751"/>
        </a:xfrm>
        <a:prstGeom prst="rect">
          <a:avLst/>
        </a:prstGeom>
      </xdr:spPr>
    </xdr:pic>
    <xdr:clientData/>
  </xdr:twoCellAnchor>
  <xdr:twoCellAnchor editAs="oneCell">
    <xdr:from>
      <xdr:col>3</xdr:col>
      <xdr:colOff>609599</xdr:colOff>
      <xdr:row>43</xdr:row>
      <xdr:rowOff>0</xdr:rowOff>
    </xdr:from>
    <xdr:to>
      <xdr:col>10</xdr:col>
      <xdr:colOff>9524</xdr:colOff>
      <xdr:row>64</xdr:row>
      <xdr:rowOff>182401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7C897C8-D179-4223-8931-4D44B07C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8" t="24717" r="21212" b="23200"/>
        <a:stretch/>
      </xdr:blipFill>
      <xdr:spPr>
        <a:xfrm>
          <a:off x="2438399" y="8201025"/>
          <a:ext cx="3667125" cy="4182901"/>
        </a:xfrm>
        <a:prstGeom prst="rect">
          <a:avLst/>
        </a:prstGeom>
      </xdr:spPr>
    </xdr:pic>
    <xdr:clientData/>
  </xdr:twoCellAnchor>
  <xdr:twoCellAnchor editAs="oneCell">
    <xdr:from>
      <xdr:col>11</xdr:col>
      <xdr:colOff>464126</xdr:colOff>
      <xdr:row>66</xdr:row>
      <xdr:rowOff>152400</xdr:rowOff>
    </xdr:from>
    <xdr:to>
      <xdr:col>19</xdr:col>
      <xdr:colOff>190499</xdr:colOff>
      <xdr:row>94</xdr:row>
      <xdr:rowOff>38100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3D52F7C-2B26-4ECD-81FD-C68236B726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24716" r="21078" b="23390"/>
        <a:stretch/>
      </xdr:blipFill>
      <xdr:spPr>
        <a:xfrm>
          <a:off x="7169726" y="12734925"/>
          <a:ext cx="4603173" cy="52197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67</xdr:row>
      <xdr:rowOff>0</xdr:rowOff>
    </xdr:from>
    <xdr:to>
      <xdr:col>10</xdr:col>
      <xdr:colOff>1</xdr:colOff>
      <xdr:row>88</xdr:row>
      <xdr:rowOff>146981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E30C4EF-87BC-46BA-A03F-34D070A57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24716" r="21078" b="23390"/>
        <a:stretch/>
      </xdr:blipFill>
      <xdr:spPr>
        <a:xfrm>
          <a:off x="2438401" y="12773025"/>
          <a:ext cx="3657600" cy="4147481"/>
        </a:xfrm>
        <a:prstGeom prst="rect">
          <a:avLst/>
        </a:prstGeom>
      </xdr:spPr>
    </xdr:pic>
    <xdr:clientData/>
  </xdr:twoCellAnchor>
  <xdr:twoCellAnchor editAs="oneCell">
    <xdr:from>
      <xdr:col>10</xdr:col>
      <xdr:colOff>580591</xdr:colOff>
      <xdr:row>92</xdr:row>
      <xdr:rowOff>133349</xdr:rowOff>
    </xdr:from>
    <xdr:to>
      <xdr:col>18</xdr:col>
      <xdr:colOff>314324</xdr:colOff>
      <xdr:row>120</xdr:row>
      <xdr:rowOff>38100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C4D42366-6B6E-437B-9871-B45DAC2851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2" t="24621" r="21078" b="23295"/>
        <a:stretch/>
      </xdr:blipFill>
      <xdr:spPr>
        <a:xfrm>
          <a:off x="6676591" y="17668874"/>
          <a:ext cx="4610533" cy="523875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10</xdr:col>
      <xdr:colOff>28575</xdr:colOff>
      <xdr:row>112</xdr:row>
      <xdr:rowOff>187943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8A9E358-BDFC-48FE-BBC3-267583F044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2" t="24621" r="21078" b="23295"/>
        <a:stretch/>
      </xdr:blipFill>
      <xdr:spPr>
        <a:xfrm>
          <a:off x="2438400" y="17345025"/>
          <a:ext cx="3686175" cy="4188443"/>
        </a:xfrm>
        <a:prstGeom prst="rect">
          <a:avLst/>
        </a:prstGeom>
      </xdr:spPr>
    </xdr:pic>
    <xdr:clientData/>
  </xdr:twoCellAnchor>
  <xdr:twoCellAnchor editAs="oneCell">
    <xdr:from>
      <xdr:col>11</xdr:col>
      <xdr:colOff>366713</xdr:colOff>
      <xdr:row>116</xdr:row>
      <xdr:rowOff>28575</xdr:rowOff>
    </xdr:from>
    <xdr:to>
      <xdr:col>19</xdr:col>
      <xdr:colOff>85725</xdr:colOff>
      <xdr:row>143</xdr:row>
      <xdr:rowOff>123825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98CDFF36-045B-42AA-9096-F04817C0D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2" t="24527" r="21078" b="23390"/>
        <a:stretch/>
      </xdr:blipFill>
      <xdr:spPr>
        <a:xfrm>
          <a:off x="7072313" y="22136100"/>
          <a:ext cx="4595812" cy="5238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10</xdr:col>
      <xdr:colOff>9525</xdr:colOff>
      <xdr:row>137</xdr:row>
      <xdr:rowOff>179643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3DEFB5D6-38B1-43D1-8CD3-DDCD50CEC8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2" t="24527" r="21078" b="23390"/>
        <a:stretch/>
      </xdr:blipFill>
      <xdr:spPr>
        <a:xfrm>
          <a:off x="2438400" y="22107525"/>
          <a:ext cx="3667125" cy="4180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FF5F-6390-4ACD-8C73-849B19FDF226}">
  <sheetPr codeName="List1"/>
  <dimension ref="A1:BK356"/>
  <sheetViews>
    <sheetView showGridLines="0" tabSelected="1" view="pageBreakPreview" zoomScaleNormal="100" zoomScaleSheetLayoutView="100" workbookViewId="0">
      <selection activeCell="J9" sqref="J9"/>
    </sheetView>
  </sheetViews>
  <sheetFormatPr baseColWidth="10" defaultColWidth="9.140625" defaultRowHeight="15"/>
  <cols>
    <col min="1" max="1" width="2.85546875" customWidth="1"/>
    <col min="2" max="2" width="7.7109375" customWidth="1"/>
    <col min="3" max="3" width="15" customWidth="1"/>
    <col min="6" max="6" width="13.7109375" customWidth="1"/>
    <col min="8" max="8" width="14.7109375" customWidth="1"/>
    <col min="9" max="9" width="8.42578125" customWidth="1"/>
    <col min="11" max="11" width="9.7109375" customWidth="1"/>
    <col min="13" max="13" width="3.42578125" customWidth="1"/>
    <col min="26" max="26" width="13.5703125" customWidth="1"/>
    <col min="29" max="29" width="2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99.85546875" hidden="1" customWidth="1"/>
    <col min="40" max="50" width="9.140625" hidden="1" customWidth="1"/>
    <col min="51" max="61" width="9.140625" customWidth="1"/>
    <col min="62" max="62" width="0.7109375" customWidth="1"/>
    <col min="63" max="70" width="9.140625" customWidth="1"/>
  </cols>
  <sheetData>
    <row r="1" spans="1:53" ht="15" customHeight="1" thickBot="1"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5" t="s">
        <v>7</v>
      </c>
      <c r="AN1" s="4" t="s">
        <v>8</v>
      </c>
      <c r="AO1" s="4" t="s">
        <v>9</v>
      </c>
      <c r="AP1" s="4" t="s">
        <v>10</v>
      </c>
      <c r="AU1" s="4" t="str">
        <f>$AG$93</f>
        <v>hand</v>
      </c>
    </row>
    <row r="2" spans="1:53" ht="15.75" thickBo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50" t="str">
        <f>VLOOKUP(AG10,AG2:AR85,$AE$1+1,FALSE)</f>
        <v>VERTIKALFÜHRUNG MIT VORMONTIERTER WELLE (VL-T)</v>
      </c>
      <c r="V2" s="150"/>
      <c r="W2" s="150"/>
      <c r="X2" s="150"/>
      <c r="Y2" s="150"/>
      <c r="Z2" s="150"/>
      <c r="AA2" s="150"/>
      <c r="AB2" s="151"/>
      <c r="AD2" s="8" t="s">
        <v>11</v>
      </c>
      <c r="AE2" s="9" t="s">
        <v>12</v>
      </c>
      <c r="AF2" s="10"/>
      <c r="AG2" t="str">
        <f>VLOOKUP(AH2,AH2:AR85,$AE$1,FALSE)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AU2" t="str">
        <f>$AG$99</f>
        <v>Antrieb - rechts</v>
      </c>
    </row>
    <row r="3" spans="1:53" ht="24" customHeight="1" thickBot="1">
      <c r="A3" s="11"/>
      <c r="B3" s="12" t="s">
        <v>22</v>
      </c>
      <c r="H3" s="13" t="str">
        <f>VLOOKUP(AG3,AG2:AR85,$AE$1+1,FALSE)</f>
        <v>Lichte Breite</v>
      </c>
      <c r="I3" s="13"/>
      <c r="J3" s="14"/>
      <c r="K3" t="s">
        <v>23</v>
      </c>
      <c r="U3" s="152"/>
      <c r="V3" s="152"/>
      <c r="W3" s="152"/>
      <c r="X3" s="152"/>
      <c r="Y3" s="152"/>
      <c r="Z3" s="152"/>
      <c r="AA3" s="152"/>
      <c r="AB3" s="153"/>
      <c r="AD3" s="15" t="s">
        <v>2</v>
      </c>
      <c r="AE3" s="16">
        <v>1</v>
      </c>
      <c r="AF3" s="4"/>
      <c r="AG3" t="str">
        <f t="shared" ref="AG3:AG66" si="0">VLOOKUP(AH3,AH3:AR86,$AE$1,FALSE)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  <c r="AU3" t="str">
        <f>$AG$98</f>
        <v>Antrieb - links</v>
      </c>
    </row>
    <row r="4" spans="1:53" ht="19.5" thickBot="1">
      <c r="A4" s="11"/>
      <c r="B4" s="12" t="s">
        <v>14</v>
      </c>
      <c r="H4" s="13"/>
      <c r="I4" s="13"/>
      <c r="J4" s="4"/>
      <c r="L4" s="13" t="str">
        <f>VLOOKUP(AH88,AH88:AR164,$AE$1,FALSE)</f>
        <v>Fülen Sie bitte markierte Felder!</v>
      </c>
      <c r="M4" s="13"/>
      <c r="N4" s="13"/>
      <c r="O4" s="13"/>
      <c r="P4" s="13"/>
      <c r="Q4" s="13"/>
      <c r="X4" s="154" t="str">
        <f>VLOOKUP(AG13,AG2:AR85,$AE$1+1,FALSE)</f>
        <v>Max. W x H 5000 x 5500 max 25 m2</v>
      </c>
      <c r="Y4" s="154"/>
      <c r="Z4" s="154"/>
      <c r="AA4" s="154"/>
      <c r="AB4" s="155"/>
      <c r="AD4" s="15" t="s">
        <v>3</v>
      </c>
      <c r="AE4" s="16">
        <v>2</v>
      </c>
      <c r="AF4" s="4"/>
      <c r="AG4" t="str">
        <f t="shared" si="0"/>
        <v>Lichte Höhe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U4" t="str">
        <f>$AG$95</f>
        <v>Haspelkette - links</v>
      </c>
    </row>
    <row r="5" spans="1:53" ht="19.5" thickBot="1">
      <c r="A5" s="11"/>
      <c r="B5" s="17" t="s">
        <v>42</v>
      </c>
      <c r="E5" s="14" t="s">
        <v>4</v>
      </c>
      <c r="H5" s="13" t="str">
        <f>VLOOKUP(AG4,AG2:AR85,$AE$1+1,FALSE)</f>
        <v>Lichte Höhe</v>
      </c>
      <c r="I5" s="13"/>
      <c r="J5" s="14"/>
      <c r="K5" t="s">
        <v>23</v>
      </c>
      <c r="X5" s="154" t="str">
        <f>VLOOKUP(AG11,AG2:AR85,$AE$1+1,FALSE)</f>
        <v>Federn oberhalb des Sturzes</v>
      </c>
      <c r="Y5" s="154"/>
      <c r="Z5" s="154"/>
      <c r="AA5" s="154"/>
      <c r="AB5" s="155"/>
      <c r="AD5" s="15" t="s">
        <v>4</v>
      </c>
      <c r="AE5" s="16">
        <v>3</v>
      </c>
      <c r="AF5" s="4"/>
      <c r="AG5" t="str">
        <f t="shared" si="0"/>
        <v>INNENANSICHT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U5" t="str">
        <f>$AG$96</f>
        <v>Haspelkette - rechts</v>
      </c>
    </row>
    <row r="6" spans="1:53" ht="16.5" thickBot="1">
      <c r="A6" s="11"/>
      <c r="B6" s="17" t="s">
        <v>52</v>
      </c>
      <c r="X6" s="154" t="str">
        <f>VLOOKUP(AG12,AG2:AR85,$AE$1+1,FALSE)</f>
        <v>Paneel 40/80 mm</v>
      </c>
      <c r="Y6" s="154"/>
      <c r="Z6" s="154"/>
      <c r="AA6" s="154"/>
      <c r="AB6" s="155"/>
      <c r="AD6" s="15" t="s">
        <v>5</v>
      </c>
      <c r="AE6" s="16">
        <v>4</v>
      </c>
      <c r="AF6" s="4"/>
      <c r="AG6" t="str">
        <f t="shared" si="0"/>
        <v>DURCHSCHNITT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</row>
    <row r="7" spans="1:53" ht="19.5" thickBot="1">
      <c r="A7" s="11"/>
      <c r="B7" s="17" t="s">
        <v>62</v>
      </c>
      <c r="H7" s="13" t="str">
        <f>VLOOKUP(AG92,AG4:AR92,$AE$1+1,FALSE)</f>
        <v>Bedienung</v>
      </c>
      <c r="J7" s="156"/>
      <c r="K7" s="156"/>
      <c r="L7" s="156"/>
      <c r="N7" s="13"/>
      <c r="O7" s="18"/>
      <c r="Q7" s="157"/>
      <c r="R7" s="157"/>
      <c r="X7" s="154" t="str">
        <f>VLOOKUP(AG14,AG2:AR85,$AE$1+1,FALSE)</f>
        <v>Tore mit Antrieb</v>
      </c>
      <c r="Y7" s="154"/>
      <c r="Z7" s="154"/>
      <c r="AA7" s="154"/>
      <c r="AB7" s="155"/>
      <c r="AD7" s="15" t="s">
        <v>6</v>
      </c>
      <c r="AE7" s="16">
        <v>5</v>
      </c>
      <c r="AF7" s="4"/>
      <c r="AG7" t="str">
        <f t="shared" si="0"/>
        <v>DURCHSCHNITT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</row>
    <row r="8" spans="1:53" ht="19.5" thickBot="1">
      <c r="A8" s="11"/>
      <c r="B8" s="19" t="s">
        <v>18</v>
      </c>
      <c r="C8" s="20"/>
      <c r="E8" s="13"/>
      <c r="S8" s="13" t="str">
        <f>VLOOKUP(AG6,AG2:AR85,$AE$1+1,FALSE)</f>
        <v>DURCHSCHNITT A-A</v>
      </c>
      <c r="Y8" s="21"/>
      <c r="Z8" s="21"/>
      <c r="AB8" s="11"/>
      <c r="AD8" s="15" t="s">
        <v>7</v>
      </c>
      <c r="AE8" s="16">
        <v>6</v>
      </c>
      <c r="AG8" t="str">
        <f t="shared" si="0"/>
        <v>ACHTUNG: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</row>
    <row r="9" spans="1:53" ht="19.5" thickBot="1">
      <c r="A9" s="11"/>
      <c r="B9" s="12" t="s">
        <v>19</v>
      </c>
      <c r="C9" s="22"/>
      <c r="D9" s="23"/>
      <c r="E9" s="145"/>
      <c r="F9" s="145"/>
      <c r="H9" s="24" t="str">
        <f>AG100</f>
        <v>Paneel-Typ</v>
      </c>
      <c r="J9" s="25"/>
      <c r="Q9" s="146"/>
      <c r="R9" s="146"/>
      <c r="AB9" s="11"/>
      <c r="AD9" s="27" t="s">
        <v>8</v>
      </c>
      <c r="AE9" s="16">
        <v>7</v>
      </c>
    </row>
    <row r="10" spans="1:53" ht="15" customHeight="1" thickBot="1">
      <c r="B10" s="28" t="s">
        <v>20</v>
      </c>
      <c r="C10" s="22"/>
      <c r="Q10" s="146"/>
      <c r="R10" s="146"/>
      <c r="AB10" s="11"/>
      <c r="AD10" s="27" t="s">
        <v>9</v>
      </c>
      <c r="AE10" s="16">
        <v>8</v>
      </c>
      <c r="AG10" t="str">
        <f t="shared" si="0"/>
        <v>VERTIKALFÜHRUNG MIT VORMONTIERTER WELLE (VL-T)</v>
      </c>
      <c r="AH10" t="s">
        <v>81</v>
      </c>
      <c r="AI10" t="s">
        <v>82</v>
      </c>
      <c r="AJ10" s="29" t="s">
        <v>83</v>
      </c>
      <c r="AK10" t="s">
        <v>84</v>
      </c>
      <c r="AL10" t="s">
        <v>85</v>
      </c>
      <c r="AM10" t="s">
        <v>86</v>
      </c>
      <c r="AN10" t="s">
        <v>87</v>
      </c>
      <c r="AO10" t="s">
        <v>88</v>
      </c>
      <c r="AP10" t="s">
        <v>89</v>
      </c>
    </row>
    <row r="11" spans="1:53" ht="15" customHeight="1" thickBot="1">
      <c r="B11" s="28" t="s">
        <v>21</v>
      </c>
      <c r="C11" s="22"/>
      <c r="E11" s="13" t="str">
        <f>VLOOKUP(AG5,AG2:AR85,$AE$1+1,FALSE)</f>
        <v>INNENANSICHT</v>
      </c>
      <c r="AB11" s="11"/>
      <c r="AD11" s="27" t="s">
        <v>10</v>
      </c>
      <c r="AE11" s="16">
        <v>9</v>
      </c>
      <c r="AG11" t="str">
        <f t="shared" si="0"/>
        <v>Federn oberhalb des Sturzes</v>
      </c>
      <c r="AH11" t="s">
        <v>90</v>
      </c>
      <c r="AI11" t="s">
        <v>91</v>
      </c>
      <c r="AJ11" t="s">
        <v>92</v>
      </c>
      <c r="AK11" t="s">
        <v>93</v>
      </c>
      <c r="AL11" t="s">
        <v>94</v>
      </c>
      <c r="AM11" t="s">
        <v>95</v>
      </c>
      <c r="AN11" t="s">
        <v>96</v>
      </c>
      <c r="AO11" t="s">
        <v>97</v>
      </c>
      <c r="AP11" t="s">
        <v>98</v>
      </c>
    </row>
    <row r="12" spans="1:53">
      <c r="B12" s="30"/>
      <c r="C12" s="147"/>
      <c r="AB12" s="11"/>
      <c r="AG12" t="str">
        <f t="shared" si="0"/>
        <v>Paneel 40/80 mm</v>
      </c>
      <c r="AH12" t="s">
        <v>99</v>
      </c>
      <c r="AI12" t="s">
        <v>100</v>
      </c>
      <c r="AJ12" t="s">
        <v>101</v>
      </c>
      <c r="AK12" t="s">
        <v>102</v>
      </c>
      <c r="AL12" t="s">
        <v>103</v>
      </c>
      <c r="AM12" t="s">
        <v>104</v>
      </c>
      <c r="AN12" t="s">
        <v>101</v>
      </c>
      <c r="AO12" t="s">
        <v>105</v>
      </c>
      <c r="AP12" t="s">
        <v>106</v>
      </c>
      <c r="BA12" s="31"/>
    </row>
    <row r="13" spans="1:53" ht="17.25">
      <c r="B13" s="30"/>
      <c r="C13" s="147"/>
      <c r="S13" s="148"/>
      <c r="AB13" s="11"/>
      <c r="AG13" t="str">
        <f t="shared" si="0"/>
        <v>Max. W x H 5000 x 5500 max 25 m2</v>
      </c>
      <c r="AH13" t="s">
        <v>68</v>
      </c>
      <c r="AI13" t="s">
        <v>68</v>
      </c>
      <c r="AJ13" t="s">
        <v>68</v>
      </c>
      <c r="AK13" t="s">
        <v>68</v>
      </c>
      <c r="AL13" t="s">
        <v>68</v>
      </c>
      <c r="AM13" t="s">
        <v>68</v>
      </c>
      <c r="AN13" t="s">
        <v>107</v>
      </c>
      <c r="AO13" t="s">
        <v>107</v>
      </c>
      <c r="AP13" t="s">
        <v>108</v>
      </c>
    </row>
    <row r="14" spans="1:53" ht="14.45" customHeight="1">
      <c r="B14" s="30"/>
      <c r="C14" s="147"/>
      <c r="S14" s="148"/>
      <c r="AB14" s="11"/>
      <c r="AG14" t="str">
        <f t="shared" si="0"/>
        <v>Tore mit Antrieb</v>
      </c>
      <c r="AH14" t="s">
        <v>109</v>
      </c>
      <c r="AI14" t="s">
        <v>110</v>
      </c>
      <c r="AJ14" t="s">
        <v>111</v>
      </c>
      <c r="AK14" t="s">
        <v>112</v>
      </c>
      <c r="AL14" t="s">
        <v>113</v>
      </c>
      <c r="AM14" t="s">
        <v>114</v>
      </c>
      <c r="AN14" t="s">
        <v>115</v>
      </c>
      <c r="AO14" t="s">
        <v>116</v>
      </c>
      <c r="AP14" t="s">
        <v>117</v>
      </c>
    </row>
    <row r="15" spans="1:53" ht="15" customHeight="1">
      <c r="B15" s="30"/>
      <c r="C15" s="147"/>
      <c r="D15" s="33"/>
      <c r="I15" s="34"/>
      <c r="S15" s="148"/>
      <c r="T15" s="31"/>
      <c r="AB15" s="11"/>
    </row>
    <row r="16" spans="1:53" ht="15" customHeight="1">
      <c r="B16" s="35"/>
      <c r="C16" s="147"/>
      <c r="D16" s="33"/>
      <c r="I16" s="36" t="str">
        <f xml:space="preserve"> "Z =  " &amp; N59</f>
        <v>Z =  NICHT ERFORDELICH</v>
      </c>
      <c r="S16" s="148"/>
      <c r="T16" s="31"/>
      <c r="AB16" s="11"/>
    </row>
    <row r="17" spans="2:42" ht="15" customHeight="1">
      <c r="B17" s="30"/>
      <c r="C17" s="147"/>
      <c r="D17" s="33"/>
      <c r="I17" s="36"/>
      <c r="S17" s="149"/>
      <c r="T17" s="31"/>
      <c r="AB17" s="11"/>
      <c r="AG17" t="str">
        <f t="shared" si="0"/>
        <v>Montage auf Mauerwerk und Ziegel</v>
      </c>
      <c r="AH17" t="s">
        <v>118</v>
      </c>
      <c r="AI17" t="s">
        <v>119</v>
      </c>
      <c r="AJ17" t="s">
        <v>120</v>
      </c>
      <c r="AK17" t="s">
        <v>121</v>
      </c>
      <c r="AL17" t="s">
        <v>122</v>
      </c>
      <c r="AM17" t="s">
        <v>123</v>
      </c>
      <c r="AN17" t="s">
        <v>124</v>
      </c>
      <c r="AO17" t="s">
        <v>125</v>
      </c>
      <c r="AP17" t="s">
        <v>126</v>
      </c>
    </row>
    <row r="18" spans="2:42" ht="15.75" customHeight="1">
      <c r="B18" s="30"/>
      <c r="C18" s="147"/>
      <c r="D18" s="33"/>
      <c r="I18" s="36"/>
      <c r="S18" s="149"/>
      <c r="T18" s="140"/>
      <c r="Z18" s="21"/>
      <c r="AB18" s="11"/>
      <c r="AG18" t="str">
        <f t="shared" si="0"/>
        <v>Montage auf Porenbeton oder Gasbeton</v>
      </c>
      <c r="AH18" t="s">
        <v>127</v>
      </c>
      <c r="AI18" t="s">
        <v>128</v>
      </c>
      <c r="AJ18" t="s">
        <v>129</v>
      </c>
      <c r="AK18" t="s">
        <v>130</v>
      </c>
      <c r="AL18" t="s">
        <v>131</v>
      </c>
      <c r="AM18" t="s">
        <v>132</v>
      </c>
      <c r="AN18" t="s">
        <v>133</v>
      </c>
      <c r="AO18" t="s">
        <v>134</v>
      </c>
      <c r="AP18" t="s">
        <v>135</v>
      </c>
    </row>
    <row r="19" spans="2:42" ht="15.75" customHeight="1">
      <c r="B19" s="30"/>
      <c r="C19" s="147"/>
      <c r="D19" s="33"/>
      <c r="I19" s="36"/>
      <c r="S19" s="149"/>
      <c r="T19" s="140"/>
      <c r="X19" s="21"/>
      <c r="Z19" s="21"/>
      <c r="AB19" s="11"/>
      <c r="AG19" t="str">
        <f t="shared" si="0"/>
        <v>Montage auf ISO-Trapezblechfassade</v>
      </c>
      <c r="AH19" t="s">
        <v>136</v>
      </c>
      <c r="AI19" t="s">
        <v>137</v>
      </c>
      <c r="AJ19" t="s">
        <v>138</v>
      </c>
      <c r="AK19" t="s">
        <v>139</v>
      </c>
      <c r="AL19" t="s">
        <v>140</v>
      </c>
      <c r="AM19" t="s">
        <v>141</v>
      </c>
      <c r="AN19" t="s">
        <v>142</v>
      </c>
      <c r="AO19" t="s">
        <v>143</v>
      </c>
      <c r="AP19" t="s">
        <v>144</v>
      </c>
    </row>
    <row r="20" spans="2:42" ht="15.75" customHeight="1">
      <c r="B20" s="30"/>
      <c r="C20" s="147"/>
      <c r="D20" s="33"/>
      <c r="I20" s="141" t="str">
        <f xml:space="preserve"> "(1) " &amp; $AG$33</f>
        <v>(1) BENÖTIGTER FREIRAUM</v>
      </c>
      <c r="J20" s="141"/>
      <c r="K20" s="141"/>
      <c r="L20" s="141"/>
      <c r="M20" s="141"/>
      <c r="N20" s="141"/>
      <c r="O20" s="141"/>
      <c r="P20" s="141"/>
      <c r="Q20" s="141"/>
      <c r="S20" s="31"/>
      <c r="T20" s="140"/>
      <c r="X20" s="21"/>
      <c r="Z20" s="21"/>
      <c r="AB20" s="11"/>
    </row>
    <row r="21" spans="2:42" ht="15.75">
      <c r="B21" s="30"/>
      <c r="C21" s="147"/>
      <c r="I21" s="141"/>
      <c r="J21" s="141"/>
      <c r="K21" s="141"/>
      <c r="L21" s="141"/>
      <c r="M21" s="141"/>
      <c r="N21" s="141"/>
      <c r="O21" s="141"/>
      <c r="P21" s="141"/>
      <c r="Q21" s="141"/>
      <c r="S21" s="31"/>
      <c r="T21" s="140"/>
      <c r="X21" s="21"/>
      <c r="Z21" s="21"/>
      <c r="AB21" s="11"/>
    </row>
    <row r="22" spans="2:42" ht="15.75">
      <c r="B22" s="30"/>
      <c r="C22" s="142"/>
      <c r="S22" s="31"/>
      <c r="T22" s="37"/>
      <c r="X22" s="21"/>
      <c r="Z22" s="21"/>
      <c r="AB22" s="11"/>
      <c r="AG22" t="str">
        <f t="shared" si="0"/>
        <v>VORBEREITUNGEN UND ARBEITEN DIE VOM AUFTRAGGEBER ZU ERBRINGEN SIND, AUßER BEI SCHRIFTLICHER VEREINBARUNG IM VORAUS:</v>
      </c>
      <c r="AH22" t="s">
        <v>145</v>
      </c>
      <c r="AI22" t="s">
        <v>146</v>
      </c>
      <c r="AJ22" t="s">
        <v>147</v>
      </c>
      <c r="AK22" t="s">
        <v>148</v>
      </c>
      <c r="AL22" t="s">
        <v>149</v>
      </c>
      <c r="AM22" t="s">
        <v>150</v>
      </c>
      <c r="AN22" t="s">
        <v>151</v>
      </c>
      <c r="AO22" t="s">
        <v>152</v>
      </c>
      <c r="AP22" t="s">
        <v>153</v>
      </c>
    </row>
    <row r="23" spans="2:42" ht="49.5" customHeight="1">
      <c r="B23" s="30"/>
      <c r="C23" s="142"/>
      <c r="I23" s="38" t="str">
        <f>IF(K7=AU1,"","(2) "&amp;$AG$44)</f>
        <v xml:space="preserve">(2) Benötigter Freiraum bei Elektro- oder Haspelkettenbedienung </v>
      </c>
      <c r="J23" s="39"/>
      <c r="K23" s="39"/>
      <c r="L23" s="39"/>
      <c r="M23" s="39"/>
      <c r="N23" s="39"/>
      <c r="O23" s="39"/>
      <c r="P23" s="39"/>
      <c r="S23" s="31"/>
      <c r="T23" s="31"/>
      <c r="Z23" s="21"/>
      <c r="AB23" s="11"/>
      <c r="AG23" t="str">
        <f t="shared" si="0"/>
        <v>Bauseits:</v>
      </c>
      <c r="AH23" t="s">
        <v>154</v>
      </c>
      <c r="AI23" t="s">
        <v>155</v>
      </c>
      <c r="AJ23" t="s">
        <v>156</v>
      </c>
      <c r="AK23" t="s">
        <v>157</v>
      </c>
      <c r="AL23" t="s">
        <v>158</v>
      </c>
      <c r="AM23" t="s">
        <v>159</v>
      </c>
      <c r="AN23" t="s">
        <v>160</v>
      </c>
      <c r="AO23" t="s">
        <v>161</v>
      </c>
      <c r="AP23" t="s">
        <v>162</v>
      </c>
    </row>
    <row r="24" spans="2:42" ht="40.5" customHeight="1">
      <c r="B24" s="30"/>
      <c r="C24" s="143"/>
      <c r="I24" s="21" t="str">
        <f>IF(OR(J7=AU2,J7=AU3,J7=""),"(3) "&amp;$AG$45,"")</f>
        <v>(3) Montagefläche für Antriebsteuerung. Siehe Produktdokumentation für Abmessungen</v>
      </c>
      <c r="J24" s="39"/>
      <c r="K24" s="39"/>
      <c r="L24" s="39"/>
      <c r="M24" s="39"/>
      <c r="N24" s="39"/>
      <c r="O24" s="39"/>
      <c r="P24" s="39"/>
      <c r="Q24" s="21"/>
      <c r="S24" s="31"/>
      <c r="T24" s="31"/>
      <c r="X24" s="40" t="str">
        <f>VLOOKUP($AG$17,$AG$2:$AR$85,$AE$1+1,FALSE)</f>
        <v>Montage auf Mauerwerk und Ziegel</v>
      </c>
      <c r="Z24" s="21"/>
      <c r="AB24" s="11"/>
      <c r="AG24" t="str">
        <f t="shared" si="0"/>
        <v>Ein stählerner Montagerahmen zur Befestigung der vertikalen Laufschienen und des Federpakets bei nicht tragfähigen Flächen wie z.B. Porenbeton, Gasbeton, Isolationspanelen u.s.w..</v>
      </c>
      <c r="AH24" t="s">
        <v>163</v>
      </c>
      <c r="AI24" t="s">
        <v>164</v>
      </c>
      <c r="AJ24" t="s">
        <v>165</v>
      </c>
      <c r="AK24" t="s">
        <v>166</v>
      </c>
      <c r="AL24" t="s">
        <v>167</v>
      </c>
      <c r="AM24" t="s">
        <v>168</v>
      </c>
      <c r="AN24" t="s">
        <v>169</v>
      </c>
      <c r="AO24" t="s">
        <v>170</v>
      </c>
      <c r="AP24" t="s">
        <v>171</v>
      </c>
    </row>
    <row r="25" spans="2:42" ht="15.75">
      <c r="B25" s="30"/>
      <c r="C25" s="143"/>
      <c r="I25" s="21"/>
      <c r="J25" s="21"/>
      <c r="K25" s="21"/>
      <c r="L25" s="21"/>
      <c r="M25" s="21"/>
      <c r="N25" s="21"/>
      <c r="O25" s="21"/>
      <c r="P25" s="21"/>
      <c r="Q25" s="21"/>
      <c r="S25" s="31"/>
      <c r="T25" s="31"/>
      <c r="Z25" s="21"/>
      <c r="AB25" s="11"/>
      <c r="AG25" t="str">
        <f t="shared" si="0"/>
        <v>Benötigte Montageflächen und Freiräume gemäß Zeichnung.</v>
      </c>
      <c r="AH25" t="s">
        <v>172</v>
      </c>
      <c r="AI25" t="s">
        <v>173</v>
      </c>
      <c r="AJ25" t="s">
        <v>174</v>
      </c>
      <c r="AK25" t="s">
        <v>175</v>
      </c>
      <c r="AL25" t="s">
        <v>176</v>
      </c>
      <c r="AM25" t="s">
        <v>177</v>
      </c>
      <c r="AN25" t="s">
        <v>178</v>
      </c>
      <c r="AO25" t="s">
        <v>179</v>
      </c>
      <c r="AP25" t="s">
        <v>180</v>
      </c>
    </row>
    <row r="26" spans="2:42" ht="15.75" customHeight="1">
      <c r="B26" s="30"/>
      <c r="C26" s="143"/>
      <c r="I26" s="21" t="str">
        <f>IF(OR(J7=AU2,J7=AU2,J7=AU3,J7=""),"(4) "&amp;AG47,"")</f>
        <v>(4) Die Parameter der Steckdosen sind in der Produktdokumentation zu finden.</v>
      </c>
      <c r="J26" s="21"/>
      <c r="K26" s="21"/>
      <c r="L26" s="21"/>
      <c r="M26" s="21"/>
      <c r="N26" s="21"/>
      <c r="O26" s="21"/>
      <c r="P26" s="21"/>
      <c r="Q26" s="21"/>
      <c r="S26" s="144"/>
      <c r="T26" s="31"/>
      <c r="X26" s="21"/>
      <c r="Z26" s="21"/>
      <c r="AB26" s="11"/>
      <c r="AG26" t="str">
        <f t="shared" si="0"/>
        <v>Elektrisch (bei elektrisch bedienten Toren):</v>
      </c>
      <c r="AH26" t="s">
        <v>181</v>
      </c>
      <c r="AI26" t="s">
        <v>182</v>
      </c>
      <c r="AJ26" t="s">
        <v>183</v>
      </c>
      <c r="AK26" t="s">
        <v>184</v>
      </c>
      <c r="AL26" t="s">
        <v>185</v>
      </c>
      <c r="AM26" t="s">
        <v>186</v>
      </c>
      <c r="AN26" t="s">
        <v>187</v>
      </c>
      <c r="AO26" t="s">
        <v>188</v>
      </c>
      <c r="AP26" t="s">
        <v>189</v>
      </c>
    </row>
    <row r="27" spans="2:42" ht="15.75">
      <c r="B27" s="30"/>
      <c r="C27" s="143"/>
      <c r="I27" s="131"/>
      <c r="J27" s="131"/>
      <c r="K27" s="131"/>
      <c r="L27" s="131"/>
      <c r="M27" s="131"/>
      <c r="N27" s="131"/>
      <c r="O27" s="131"/>
      <c r="P27" s="131"/>
      <c r="Q27" s="21"/>
      <c r="S27" s="144"/>
      <c r="T27" s="31"/>
      <c r="X27" s="21" t="str">
        <f>VLOOKUP($AG$18,$AG$2:$AR$85,$AE$1+1,FALSE)</f>
        <v>Montage auf Porenbeton oder Gasbeton</v>
      </c>
      <c r="Z27" s="21"/>
      <c r="AB27" s="11"/>
      <c r="AG27" t="str">
        <f t="shared" si="0"/>
        <v>Stromzufuhr 400V/230V mittels Eurosteckdose, 3 Phasen+0+PE max.1 meter vom Schaltkasten.</v>
      </c>
      <c r="AH27" t="s">
        <v>190</v>
      </c>
      <c r="AI27" t="s">
        <v>191</v>
      </c>
      <c r="AJ27" t="s">
        <v>192</v>
      </c>
      <c r="AK27" t="s">
        <v>193</v>
      </c>
      <c r="AL27" t="s">
        <v>194</v>
      </c>
      <c r="AM27" t="s">
        <v>195</v>
      </c>
      <c r="AN27" t="s">
        <v>196</v>
      </c>
      <c r="AO27" t="s">
        <v>197</v>
      </c>
      <c r="AP27" t="s">
        <v>198</v>
      </c>
    </row>
    <row r="28" spans="2:42" ht="15.75" customHeight="1">
      <c r="B28" s="30"/>
      <c r="C28" s="143"/>
      <c r="I28" s="131"/>
      <c r="J28" s="131"/>
      <c r="K28" s="131"/>
      <c r="L28" s="131"/>
      <c r="M28" s="131"/>
      <c r="N28" s="131"/>
      <c r="O28" s="131"/>
      <c r="P28" s="131"/>
      <c r="S28" s="32"/>
      <c r="AB28" s="11"/>
      <c r="AG28" t="str">
        <f t="shared" si="0"/>
        <v>Montagefläche für Schaltkasten, Abmessungen 250 x 400 mm</v>
      </c>
      <c r="AH28" t="s">
        <v>199</v>
      </c>
      <c r="AI28" t="s">
        <v>200</v>
      </c>
      <c r="AJ28" t="s">
        <v>201</v>
      </c>
      <c r="AK28" t="s">
        <v>202</v>
      </c>
      <c r="AL28" t="s">
        <v>203</v>
      </c>
      <c r="AM28" t="s">
        <v>204</v>
      </c>
      <c r="AN28" t="s">
        <v>205</v>
      </c>
      <c r="AO28" t="s">
        <v>206</v>
      </c>
      <c r="AP28" t="s">
        <v>207</v>
      </c>
    </row>
    <row r="29" spans="2:42" ht="15.75">
      <c r="B29" s="30"/>
      <c r="C29" s="41"/>
      <c r="X29" s="21"/>
      <c r="AB29" s="11"/>
    </row>
    <row r="30" spans="2:42">
      <c r="B30" s="30"/>
      <c r="AB30" s="11"/>
    </row>
    <row r="31" spans="2:42" ht="15.75">
      <c r="B31" s="30"/>
      <c r="D31" s="42"/>
      <c r="X31" s="131" t="str">
        <f>VLOOKUP($AG$19,$AG$2:$AR$85,$AE$1+1,FALSE)</f>
        <v>Montage auf ISO-Trapezblechfassade</v>
      </c>
      <c r="Y31" s="131"/>
      <c r="Z31" s="131"/>
      <c r="AA31" s="131"/>
      <c r="AB31" s="132"/>
      <c r="AG31" t="str">
        <f t="shared" si="0"/>
        <v>BENÖTIGTER MONTAGEFLÄCHEN</v>
      </c>
      <c r="AH31" t="s">
        <v>208</v>
      </c>
      <c r="AI31" t="s">
        <v>209</v>
      </c>
      <c r="AJ31" t="s">
        <v>210</v>
      </c>
      <c r="AK31" t="s">
        <v>211</v>
      </c>
      <c r="AL31" t="s">
        <v>212</v>
      </c>
      <c r="AM31" t="s">
        <v>213</v>
      </c>
      <c r="AN31" t="s">
        <v>214</v>
      </c>
      <c r="AO31" t="s">
        <v>215</v>
      </c>
      <c r="AP31" t="s">
        <v>216</v>
      </c>
    </row>
    <row r="32" spans="2:42">
      <c r="B32" s="30"/>
      <c r="X32" s="131"/>
      <c r="Y32" s="131"/>
      <c r="Z32" s="131"/>
      <c r="AA32" s="131"/>
      <c r="AB32" s="132"/>
      <c r="AG32" t="str">
        <f t="shared" si="0"/>
        <v>MONTAGEFLÄCHE FÜR DEN MOTOR</v>
      </c>
      <c r="AH32" t="s">
        <v>217</v>
      </c>
      <c r="AI32" t="s">
        <v>218</v>
      </c>
      <c r="AJ32" t="s">
        <v>219</v>
      </c>
      <c r="AK32" t="s">
        <v>220</v>
      </c>
      <c r="AL32" t="s">
        <v>221</v>
      </c>
      <c r="AM32" t="s">
        <v>222</v>
      </c>
      <c r="AN32" t="s">
        <v>223</v>
      </c>
      <c r="AO32" t="s">
        <v>224</v>
      </c>
      <c r="AP32" t="s">
        <v>225</v>
      </c>
    </row>
    <row r="33" spans="1:43">
      <c r="B33" s="30"/>
      <c r="C33" s="43"/>
      <c r="E33" s="44"/>
      <c r="F33" s="45"/>
      <c r="H33" s="46"/>
      <c r="AC33" s="30"/>
      <c r="AG33" t="str">
        <f t="shared" si="0"/>
        <v>BENÖTIGTER FREIRAUM</v>
      </c>
      <c r="AH33" t="s">
        <v>226</v>
      </c>
      <c r="AI33" t="s">
        <v>227</v>
      </c>
      <c r="AJ33" t="s">
        <v>228</v>
      </c>
      <c r="AK33" t="s">
        <v>229</v>
      </c>
      <c r="AL33" t="s">
        <v>230</v>
      </c>
      <c r="AM33" t="s">
        <v>231</v>
      </c>
      <c r="AN33" t="s">
        <v>232</v>
      </c>
      <c r="AO33" t="s">
        <v>233</v>
      </c>
      <c r="AP33" t="s">
        <v>234</v>
      </c>
    </row>
    <row r="34" spans="1:43">
      <c r="B34" s="30"/>
      <c r="AC34" s="30"/>
      <c r="AG34" t="str">
        <f t="shared" si="0"/>
        <v>EXTRA FREIRAUM FÜR MOTOR/KETTE</v>
      </c>
      <c r="AH34" t="s">
        <v>235</v>
      </c>
      <c r="AI34" t="s">
        <v>236</v>
      </c>
      <c r="AJ34" t="s">
        <v>237</v>
      </c>
      <c r="AK34" t="s">
        <v>238</v>
      </c>
      <c r="AL34" t="s">
        <v>239</v>
      </c>
      <c r="AM34" t="s">
        <v>240</v>
      </c>
      <c r="AN34" t="s">
        <v>241</v>
      </c>
      <c r="AO34" t="s">
        <v>242</v>
      </c>
      <c r="AP34" t="s">
        <v>243</v>
      </c>
    </row>
    <row r="35" spans="1:43" ht="21">
      <c r="B35" s="30"/>
      <c r="E35" s="13"/>
      <c r="F35" s="13"/>
      <c r="G35" s="13"/>
      <c r="K35" s="47" t="s">
        <v>244</v>
      </c>
      <c r="M35" s="21" t="str">
        <f>VLOOKUP(AG37,AG2:AR85,$AE$1+1,FALSE)</f>
        <v>Bodenneigung</v>
      </c>
      <c r="N35" s="21"/>
      <c r="O35" s="21"/>
      <c r="AB35" s="11"/>
    </row>
    <row r="36" spans="1:43" ht="15.75">
      <c r="B36" s="30"/>
      <c r="N36" s="21"/>
      <c r="O36" s="21"/>
      <c r="X36" s="133"/>
      <c r="Y36" s="133"/>
      <c r="Z36" s="133"/>
      <c r="AB36" s="11"/>
    </row>
    <row r="37" spans="1:43" ht="15.75">
      <c r="B37" s="30"/>
      <c r="N37" s="21"/>
      <c r="O37" s="21"/>
      <c r="X37" s="133"/>
      <c r="Y37" s="133"/>
      <c r="Z37" s="133"/>
      <c r="AB37" s="11"/>
      <c r="AG37" t="str">
        <f t="shared" si="0"/>
        <v>Bodenneigung</v>
      </c>
      <c r="AH37" t="s">
        <v>245</v>
      </c>
      <c r="AI37" t="s">
        <v>246</v>
      </c>
      <c r="AJ37" t="s">
        <v>247</v>
      </c>
      <c r="AK37" t="s">
        <v>248</v>
      </c>
      <c r="AL37" t="s">
        <v>249</v>
      </c>
      <c r="AM37" t="s">
        <v>250</v>
      </c>
      <c r="AN37" t="s">
        <v>251</v>
      </c>
      <c r="AO37" t="s">
        <v>252</v>
      </c>
      <c r="AP37" t="s">
        <v>253</v>
      </c>
    </row>
    <row r="38" spans="1:43" ht="15.75">
      <c r="B38" s="30"/>
      <c r="N38" s="21"/>
      <c r="O38" s="21"/>
      <c r="AB38" s="11"/>
      <c r="AG38" t="str">
        <f t="shared" si="0"/>
        <v>nach aussen</v>
      </c>
      <c r="AH38" t="s">
        <v>254</v>
      </c>
      <c r="AI38" t="s">
        <v>255</v>
      </c>
      <c r="AJ38" t="s">
        <v>256</v>
      </c>
      <c r="AK38" t="s">
        <v>257</v>
      </c>
      <c r="AL38" t="s">
        <v>258</v>
      </c>
      <c r="AM38" t="s">
        <v>259</v>
      </c>
      <c r="AN38" t="s">
        <v>260</v>
      </c>
      <c r="AO38" t="s">
        <v>261</v>
      </c>
    </row>
    <row r="39" spans="1:43" ht="15.75" customHeight="1">
      <c r="B39" s="30"/>
      <c r="N39" s="21"/>
      <c r="O39" s="21"/>
      <c r="X39" s="133"/>
      <c r="Y39" s="133"/>
      <c r="Z39" s="133"/>
      <c r="AB39" s="11"/>
      <c r="AG39" t="str">
        <f t="shared" si="0"/>
        <v>Gefälle 3%</v>
      </c>
      <c r="AH39" t="s">
        <v>262</v>
      </c>
      <c r="AI39" t="s">
        <v>263</v>
      </c>
      <c r="AJ39" t="s">
        <v>264</v>
      </c>
      <c r="AK39" t="s">
        <v>265</v>
      </c>
      <c r="AL39" t="s">
        <v>266</v>
      </c>
      <c r="AM39" t="s">
        <v>267</v>
      </c>
      <c r="AN39" t="s">
        <v>268</v>
      </c>
      <c r="AO39" t="s">
        <v>269</v>
      </c>
      <c r="AP39" t="s">
        <v>270</v>
      </c>
    </row>
    <row r="40" spans="1:43" ht="15.75">
      <c r="B40" s="30"/>
      <c r="E40" s="26"/>
      <c r="F40" s="45"/>
      <c r="G40" s="45"/>
      <c r="N40" s="21"/>
      <c r="O40" s="21"/>
      <c r="X40" s="133"/>
      <c r="Y40" s="133"/>
      <c r="Z40" s="133"/>
      <c r="AB40" s="11"/>
      <c r="AG40" t="str">
        <f t="shared" si="0"/>
        <v>Wasserschenkel</v>
      </c>
      <c r="AH40" t="s">
        <v>254</v>
      </c>
      <c r="AI40" t="s">
        <v>271</v>
      </c>
      <c r="AJ40" t="s">
        <v>272</v>
      </c>
      <c r="AK40" t="s">
        <v>257</v>
      </c>
      <c r="AL40" t="s">
        <v>249</v>
      </c>
      <c r="AM40" t="s">
        <v>273</v>
      </c>
      <c r="AN40" t="s">
        <v>274</v>
      </c>
      <c r="AO40" t="s">
        <v>275</v>
      </c>
    </row>
    <row r="41" spans="1:43" ht="15.75">
      <c r="B41" s="30"/>
      <c r="N41" s="21"/>
      <c r="O41" s="21"/>
      <c r="R41" s="48" t="str">
        <f>VLOOKUP(AG31,AG2:AR85,$AE$1+1,FALSE)</f>
        <v>BENÖTIGTER MONTAGEFLÄCHEN</v>
      </c>
      <c r="S41" s="48"/>
      <c r="T41" s="48"/>
      <c r="U41" s="48"/>
      <c r="V41" s="48"/>
      <c r="W41" s="48"/>
      <c r="X41" s="48"/>
      <c r="Y41" s="48"/>
      <c r="Z41" s="48"/>
      <c r="AA41" s="48"/>
      <c r="AB41" s="49"/>
      <c r="AG41" t="str">
        <f t="shared" si="0"/>
        <v>Boden mit</v>
      </c>
      <c r="AH41" t="s">
        <v>245</v>
      </c>
      <c r="AI41" t="s">
        <v>276</v>
      </c>
      <c r="AJ41" t="s">
        <v>277</v>
      </c>
      <c r="AK41" t="s">
        <v>248</v>
      </c>
      <c r="AL41" t="s">
        <v>278</v>
      </c>
      <c r="AM41" t="s">
        <v>279</v>
      </c>
      <c r="AN41" t="s">
        <v>280</v>
      </c>
      <c r="AO41" t="s">
        <v>281</v>
      </c>
      <c r="AP41" t="s">
        <v>282</v>
      </c>
    </row>
    <row r="42" spans="1:43" ht="15.75">
      <c r="B42" s="30"/>
      <c r="N42" s="21"/>
      <c r="O42" s="21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</row>
    <row r="43" spans="1:43">
      <c r="A43" s="11"/>
      <c r="R43" s="48" t="str">
        <f>VLOOKUP(AG32,AG4:AR86,$AE$1+1,FALSE)</f>
        <v>MONTAGEFLÄCHE FÜR DEN MOTOR</v>
      </c>
      <c r="S43" s="48"/>
      <c r="T43" s="48"/>
      <c r="U43" s="48"/>
      <c r="V43" s="48"/>
      <c r="W43" s="48"/>
      <c r="X43" s="134" t="str">
        <f>VLOOKUP(AG33,AG4:AR86,$AE$1+1,FALSE)</f>
        <v>BENÖTIGTER FREIRAUM</v>
      </c>
      <c r="Y43" s="134"/>
      <c r="Z43" s="134"/>
      <c r="AA43" s="134"/>
      <c r="AB43" s="135"/>
    </row>
    <row r="44" spans="1:43">
      <c r="A44" s="11"/>
      <c r="X44" s="134"/>
      <c r="Y44" s="134"/>
      <c r="Z44" s="134"/>
      <c r="AA44" s="134"/>
      <c r="AB44" s="135"/>
      <c r="AG44" t="str">
        <f>VLOOKUP(AH44,AH44:AR139,$AE$1,FALSE)</f>
        <v xml:space="preserve">Benötigter Freiraum bei Elektro- oder Haspelkettenbedienung </v>
      </c>
      <c r="AH44" t="s">
        <v>283</v>
      </c>
      <c r="AI44" t="s">
        <v>284</v>
      </c>
      <c r="AJ44" t="s">
        <v>285</v>
      </c>
      <c r="AK44" t="s">
        <v>286</v>
      </c>
      <c r="AL44" t="s">
        <v>287</v>
      </c>
      <c r="AM44" t="s">
        <v>288</v>
      </c>
      <c r="AN44" t="s">
        <v>289</v>
      </c>
      <c r="AO44" t="s">
        <v>290</v>
      </c>
      <c r="AP44" t="s">
        <v>291</v>
      </c>
    </row>
    <row r="45" spans="1:43" ht="15.75">
      <c r="A45" s="11"/>
      <c r="B45" s="21" t="str">
        <f>VLOOKUP(AG8,AG2:AR85,$AE$1+1,FALSE)</f>
        <v>ACHTUNG:</v>
      </c>
      <c r="C45" s="21"/>
      <c r="D45" s="21"/>
      <c r="E45" s="21"/>
      <c r="F45" s="21"/>
      <c r="G45" s="21"/>
      <c r="H45" s="21"/>
      <c r="I45" s="21"/>
      <c r="J45" s="21"/>
      <c r="K45" s="21"/>
      <c r="AB45" s="11"/>
      <c r="AG45" t="str">
        <f>VLOOKUP(AH45,AH45:AR140,$AE$1,FALSE)</f>
        <v>Montagefläche für Antriebsteuerung. Siehe Produktdokumentation für Abmessungen</v>
      </c>
      <c r="AH45" t="s">
        <v>292</v>
      </c>
      <c r="AI45" t="s">
        <v>293</v>
      </c>
      <c r="AJ45" t="s">
        <v>294</v>
      </c>
      <c r="AK45" t="s">
        <v>295</v>
      </c>
      <c r="AL45" t="s">
        <v>296</v>
      </c>
      <c r="AM45" t="s">
        <v>297</v>
      </c>
      <c r="AN45" t="s">
        <v>298</v>
      </c>
      <c r="AO45" t="s">
        <v>299</v>
      </c>
      <c r="AP45" t="s">
        <v>300</v>
      </c>
    </row>
    <row r="46" spans="1:43" ht="15.75">
      <c r="A46" s="11"/>
      <c r="B46" s="21"/>
      <c r="C46" s="21"/>
      <c r="D46" s="21"/>
      <c r="E46" s="21"/>
      <c r="F46" s="21"/>
      <c r="G46" s="21"/>
      <c r="H46" s="21"/>
      <c r="I46" s="21"/>
      <c r="J46" s="21"/>
      <c r="K46" s="21"/>
      <c r="AB46" s="11"/>
      <c r="AG46" t="str">
        <f>VLOOKUP(AH46,AH46:AR138,$AE$1,FALSE)</f>
        <v>Achse ca. 1.400 bis 1.500 mm vom Boden</v>
      </c>
      <c r="AH46" t="s">
        <v>301</v>
      </c>
      <c r="AI46" t="s">
        <v>302</v>
      </c>
      <c r="AJ46" t="s">
        <v>303</v>
      </c>
      <c r="AK46" t="s">
        <v>304</v>
      </c>
      <c r="AL46" t="s">
        <v>305</v>
      </c>
      <c r="AM46" t="s">
        <v>306</v>
      </c>
      <c r="AN46" t="s">
        <v>307</v>
      </c>
      <c r="AO46" t="s">
        <v>308</v>
      </c>
      <c r="AP46" t="s">
        <v>309</v>
      </c>
    </row>
    <row r="47" spans="1:43" ht="15.75">
      <c r="B47" s="50" t="str">
        <f>VLOOKUP(AG50,AG2:AR85,$AE$1+1,FALSE)</f>
        <v>Die hinteren Seiten der Sturze und Pfeiler, sowie die Montagefläche für das Federpaket müssen eben und auf einer Linie liegen.</v>
      </c>
      <c r="C47" s="21"/>
      <c r="D47" s="21"/>
      <c r="E47" s="21"/>
      <c r="F47" s="21"/>
      <c r="G47" s="21"/>
      <c r="H47" s="21"/>
      <c r="I47" s="21"/>
      <c r="J47" s="21"/>
      <c r="K47" s="21"/>
      <c r="R47" s="136" t="str">
        <f>VLOOKUP(AG22,AG2:AR85,$AE$1+1,FALSE)</f>
        <v>VORBEREITUNGEN UND ARBEITEN DIE VOM AUFTRAGGEBER ZU ERBRINGEN SIND, AUßER BEI SCHRIFTLICHER VEREINBARUNG IM VORAUS:</v>
      </c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G47" t="str">
        <f t="shared" ref="AG47" si="1">VLOOKUP(AH47,AH47:AR142,$AE$1,FALSE)</f>
        <v>Die Parameter der Steckdosen sind in der Produktdokumentation zu finden.</v>
      </c>
      <c r="AH47" t="s">
        <v>310</v>
      </c>
      <c r="AI47" t="s">
        <v>311</v>
      </c>
      <c r="AJ47" t="s">
        <v>312</v>
      </c>
      <c r="AK47" t="s">
        <v>313</v>
      </c>
      <c r="AL47" t="s">
        <v>314</v>
      </c>
      <c r="AM47" t="s">
        <v>315</v>
      </c>
      <c r="AN47" t="s">
        <v>316</v>
      </c>
      <c r="AO47" t="s">
        <v>317</v>
      </c>
      <c r="AP47" t="s">
        <v>318</v>
      </c>
      <c r="AQ47" t="s">
        <v>318</v>
      </c>
    </row>
    <row r="48" spans="1:43" ht="15.75">
      <c r="B48" s="50" t="str">
        <f>VLOOKUP(AG51,AG2:AR85,$AE$1+1,FALSE)</f>
        <v>Im übrigen müssen die lichten Masse eben und rechtwinklig sein.</v>
      </c>
      <c r="C48" s="21"/>
      <c r="D48" s="21"/>
      <c r="E48" s="21"/>
      <c r="F48" s="21"/>
      <c r="G48" s="21"/>
      <c r="H48" s="21"/>
      <c r="I48" s="21"/>
      <c r="J48" s="21"/>
      <c r="K48" s="21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</row>
    <row r="49" spans="2:61" ht="15.75">
      <c r="B49" s="50" t="str">
        <f>VLOOKUP(AG52,AG2:AR85,$AE$1+1,FALSE)</f>
        <v>Der Fussboden muss glatt und waagerecht sein.</v>
      </c>
      <c r="C49" s="21"/>
      <c r="D49" s="21"/>
      <c r="E49" s="21"/>
      <c r="F49" s="21"/>
      <c r="G49" s="21"/>
      <c r="H49" s="21"/>
      <c r="I49" s="21"/>
      <c r="J49" s="21"/>
      <c r="K49" s="21"/>
      <c r="R49" t="str">
        <f>VLOOKUP(AG23,AG2:AR85,$AE$1+1,FALSE)</f>
        <v>Bauseits:</v>
      </c>
      <c r="AB49" s="11"/>
    </row>
    <row r="50" spans="2:61" ht="16.5" thickBot="1">
      <c r="B50" s="50"/>
      <c r="C50" s="21"/>
      <c r="D50" s="21"/>
      <c r="E50" s="21"/>
      <c r="F50" s="21"/>
      <c r="G50" s="21"/>
      <c r="H50" s="21"/>
      <c r="I50" s="21"/>
      <c r="J50" s="21"/>
      <c r="K50" s="21"/>
      <c r="P50" s="1"/>
      <c r="R50" s="138" t="str">
        <f>VLOOKUP(AG24,AG2:AR85,$AE$1+1,FALSE)</f>
        <v>Ein stählerner Montagerahmen zur Befestigung der vertikalen Laufschienen und des Federpakets bei nicht tragfähigen Flächen wie z.B. Porenbeton, Gasbeton, Isolationspanelen u.s.w..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9"/>
      <c r="AG50" t="str">
        <f t="shared" si="0"/>
        <v>Die hinteren Seiten der Sturze und Pfeiler, sowie die Montagefläche für das Federpaket müssen eben und auf einer Linie liegen.</v>
      </c>
      <c r="AH50" t="s">
        <v>319</v>
      </c>
      <c r="AI50" t="s">
        <v>320</v>
      </c>
      <c r="AJ50" t="s">
        <v>321</v>
      </c>
      <c r="AK50" t="s">
        <v>322</v>
      </c>
      <c r="AL50" t="s">
        <v>323</v>
      </c>
      <c r="AM50" t="s">
        <v>324</v>
      </c>
      <c r="AN50" t="s">
        <v>325</v>
      </c>
      <c r="AO50" t="s">
        <v>326</v>
      </c>
      <c r="AP50" t="s">
        <v>327</v>
      </c>
    </row>
    <row r="51" spans="2:61" ht="15.75" thickBot="1">
      <c r="B51" s="51" t="str">
        <f>VLOOKUP(AG55,AG2:AR85,$AE$1+1,FALSE)</f>
        <v>MASSE in mm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G51" t="str">
        <f t="shared" si="0"/>
        <v>Im übrigen müssen die lichten Masse eben und rechtwinklig sein.</v>
      </c>
      <c r="AH51" t="s">
        <v>328</v>
      </c>
      <c r="AI51" t="s">
        <v>329</v>
      </c>
      <c r="AJ51" t="s">
        <v>330</v>
      </c>
      <c r="AK51" t="s">
        <v>331</v>
      </c>
      <c r="AL51" t="s">
        <v>332</v>
      </c>
      <c r="AM51" t="s">
        <v>333</v>
      </c>
      <c r="AN51" t="s">
        <v>334</v>
      </c>
      <c r="AO51" t="s">
        <v>335</v>
      </c>
      <c r="AP51" t="s">
        <v>336</v>
      </c>
    </row>
    <row r="52" spans="2:61" ht="15.75" thickBot="1">
      <c r="B52" s="15" t="s">
        <v>337</v>
      </c>
      <c r="C52" s="1" t="str">
        <f>VLOOKUP(AG56,AG2:AR85,$AE$1+1,FALSE)</f>
        <v>Lichte Breite</v>
      </c>
      <c r="D52" s="52"/>
      <c r="E52" s="1"/>
      <c r="F52" s="53" t="str">
        <f>IF(J3="","W ","W = " &amp;J3)</f>
        <v xml:space="preserve">W </v>
      </c>
      <c r="G52" s="54" t="str">
        <f>IF(K7="",AG67,AG99&amp;":" &amp; "  " &amp;K7)</f>
        <v>Elektrisch- oder Haspelkettenbedient</v>
      </c>
      <c r="H52" s="55"/>
      <c r="I52" s="55"/>
      <c r="J52" s="55"/>
      <c r="K52" s="54"/>
      <c r="L52" s="56"/>
      <c r="M52" s="52" t="str">
        <f>VLOOKUP(AG70,AG6:AR88,$AE$1+1,FALSE)</f>
        <v>Freiraum über Sturz</v>
      </c>
      <c r="N52" s="52"/>
      <c r="O52" s="52"/>
      <c r="P52" s="53"/>
      <c r="R52" t="str">
        <f>VLOOKUP(AG25,AG2:AR85,$AE$1+1,FALSE)</f>
        <v>Benötigte Montageflächen und Freiräume gemäß Zeichnung.</v>
      </c>
      <c r="AB52" s="11"/>
      <c r="AG52" t="str">
        <f t="shared" si="0"/>
        <v>Der Fussboden muss glatt und waagerecht sein.</v>
      </c>
      <c r="AH52" t="s">
        <v>338</v>
      </c>
      <c r="AI52" t="s">
        <v>339</v>
      </c>
      <c r="AJ52" t="s">
        <v>340</v>
      </c>
      <c r="AK52" t="s">
        <v>341</v>
      </c>
      <c r="AL52" t="s">
        <v>342</v>
      </c>
      <c r="AM52" t="s">
        <v>343</v>
      </c>
      <c r="AN52" t="s">
        <v>344</v>
      </c>
      <c r="AO52" t="s">
        <v>345</v>
      </c>
      <c r="AP52" t="s">
        <v>346</v>
      </c>
    </row>
    <row r="53" spans="2:61" ht="15.75" thickBot="1">
      <c r="B53" s="15" t="s">
        <v>347</v>
      </c>
      <c r="C53" s="1" t="str">
        <f t="shared" ref="C53:C60" si="2">VLOOKUP(AG57,AG3:AR85,$AE$1+1,FALSE)</f>
        <v>Lichte Höhe</v>
      </c>
      <c r="D53" s="52"/>
      <c r="E53" s="52"/>
      <c r="F53" s="53" t="str">
        <f>IF(J5="","H ","H = " &amp;J5)</f>
        <v xml:space="preserve">H </v>
      </c>
      <c r="G53" s="15" t="str">
        <f>IF(J7="","L/R","L")</f>
        <v>L/R</v>
      </c>
      <c r="H53" s="52" t="str">
        <f>IF(J7="",AG108,VLOOKUP(AG61,AG7:AR98,$AE$1+1,FALSE))</f>
        <v xml:space="preserve">Antriebseite </v>
      </c>
      <c r="I53" s="52"/>
      <c r="K53" s="52"/>
      <c r="L53" s="57" t="str">
        <f>IF(OR(general!J7=""),"",IF(OR(general!J7=general!AG93,general!J7=general!AG99,general!J7=general!AG96),"min. "&amp;250,IF(general!J7=general!AG98,430,IF(general!J7=general!AG95,330))))</f>
        <v/>
      </c>
      <c r="M53" s="15" t="s">
        <v>348</v>
      </c>
      <c r="N53" s="52"/>
      <c r="O53" s="58" t="s">
        <v>349</v>
      </c>
      <c r="P53" s="53" t="str">
        <f>IF(OR(J3="",J5=""),"",$J$5+420)</f>
        <v/>
      </c>
      <c r="R53" t="str">
        <f>VLOOKUP(AG26,AG2:AR85,$AE$1+1,FALSE)</f>
        <v>Elektrisch (bei elektrisch bedienten Toren):</v>
      </c>
      <c r="AB53" s="11"/>
    </row>
    <row r="54" spans="2:61" ht="15.75" thickBot="1">
      <c r="B54" s="15" t="s">
        <v>350</v>
      </c>
      <c r="C54" s="1" t="str">
        <f t="shared" si="2"/>
        <v>Höhe Innenraum</v>
      </c>
      <c r="D54" s="52"/>
      <c r="E54" s="52"/>
      <c r="F54" s="53" t="str">
        <f>IF(J3="","E ","E = " &amp;P55)</f>
        <v xml:space="preserve">E </v>
      </c>
      <c r="G54" s="15" t="str">
        <f>IF(J7="","L/R","R")</f>
        <v>L/R</v>
      </c>
      <c r="H54" s="52" t="str">
        <f>IF(J7="",AG109,VLOOKUP(AG62,AG8:AR99,$AE$1+1,FALSE))</f>
        <v xml:space="preserve">Andere Seite </v>
      </c>
      <c r="I54" s="52"/>
      <c r="J54" s="52"/>
      <c r="K54" s="52"/>
      <c r="L54" s="59" t="str">
        <f>IF(OR(general!J7=""),"",IF(OR(general!J7=general!AG93,general!J7=general!AG95,general!J7=general!AG98),"min. "&amp;250,IF(general!J7=general!AG99,430,IF(general!J7=general!AG96,330))))</f>
        <v/>
      </c>
      <c r="M54" s="15" t="s">
        <v>351</v>
      </c>
      <c r="N54" s="52"/>
      <c r="O54" s="58" t="s">
        <v>352</v>
      </c>
      <c r="P54" s="53" t="str">
        <f>IF(OR(J3="",J5=""),"",$J$5+150)</f>
        <v/>
      </c>
      <c r="R54" t="str">
        <f>AG47</f>
        <v>Die Parameter der Steckdosen sind in der Produktdokumentation zu finden.</v>
      </c>
      <c r="AB54" s="11"/>
    </row>
    <row r="55" spans="2:61" ht="15.75" thickBot="1">
      <c r="B55" s="15" t="s">
        <v>353</v>
      </c>
      <c r="C55" s="1" t="str">
        <f t="shared" si="2"/>
        <v>Freiraum über Sturz</v>
      </c>
      <c r="D55" s="52"/>
      <c r="E55" s="52"/>
      <c r="F55" s="53" t="str">
        <f>IF(J5="","F","F = " &amp;P53)</f>
        <v>F</v>
      </c>
      <c r="G55" s="54" t="str">
        <f>VLOOKUP(AG69,AG6:AR88,$AE$1+1,FALSE)</f>
        <v>Einbautiefe</v>
      </c>
      <c r="H55" s="54"/>
      <c r="I55" s="54"/>
      <c r="J55" s="54"/>
      <c r="K55" s="54"/>
      <c r="L55" s="56"/>
      <c r="M55" s="15" t="s">
        <v>354</v>
      </c>
      <c r="N55" s="52"/>
      <c r="O55" s="58" t="s">
        <v>355</v>
      </c>
      <c r="P55" s="60" t="str">
        <f>IF(OR(J3="",J5=""),"","min. "&amp;J5+P53)</f>
        <v/>
      </c>
      <c r="AA55" s="1"/>
      <c r="AB55" s="61"/>
      <c r="AG55" t="str">
        <f t="shared" si="0"/>
        <v>MASSE in mm</v>
      </c>
      <c r="AH55" t="s">
        <v>356</v>
      </c>
      <c r="AI55" t="s">
        <v>357</v>
      </c>
      <c r="AJ55" t="s">
        <v>358</v>
      </c>
      <c r="AK55" t="s">
        <v>359</v>
      </c>
      <c r="AL55" t="s">
        <v>360</v>
      </c>
      <c r="AM55" t="s">
        <v>361</v>
      </c>
      <c r="AN55" t="s">
        <v>362</v>
      </c>
      <c r="AO55" t="s">
        <v>363</v>
      </c>
      <c r="AP55" t="s">
        <v>364</v>
      </c>
    </row>
    <row r="56" spans="2:61" ht="15.75" thickBot="1">
      <c r="B56" s="15" t="s">
        <v>365</v>
      </c>
      <c r="C56" s="1" t="str">
        <f t="shared" si="2"/>
        <v>Höhe über Montagefläche Loch</v>
      </c>
      <c r="D56" s="52"/>
      <c r="E56" s="52"/>
      <c r="F56" s="53" t="str">
        <f>IF(J5="","J","J = " &amp;P54)</f>
        <v>J</v>
      </c>
      <c r="G56" s="15" t="s">
        <v>366</v>
      </c>
      <c r="H56" s="52"/>
      <c r="I56" s="52"/>
      <c r="K56" s="52"/>
      <c r="L56" s="52" t="s">
        <v>367</v>
      </c>
      <c r="M56" s="126" t="str">
        <f>VLOOKUP(AG71,AG6:AR88,$AE$1+1,FALSE)</f>
        <v>Mitte Achse zum Sturz</v>
      </c>
      <c r="N56" s="127"/>
      <c r="O56" s="127"/>
      <c r="P56" s="128"/>
      <c r="R56" s="124" t="str">
        <f>VLOOKUP(AG74,AG2:AR85,$AE$1+1,FALSE)</f>
        <v>Aufgestellt:</v>
      </c>
      <c r="S56" s="125"/>
      <c r="T56" s="124" t="str">
        <f>VLOOKUP(AG75,AG2:AR85,$AE$1+1,FALSE)</f>
        <v>Bereinigt:</v>
      </c>
      <c r="U56" s="125"/>
      <c r="V56" s="124" t="str">
        <f>VLOOKUP(AG76,AG2:AR85,$AE$1+1,FALSE)</f>
        <v>Bereinigt am:</v>
      </c>
      <c r="W56" s="125"/>
      <c r="X56" s="124" t="str">
        <f>VLOOKUP(AG77,AG2:AR85,$AE$1+1,FALSE)</f>
        <v>Dateiname:</v>
      </c>
      <c r="Y56" s="125"/>
      <c r="Z56" s="62" t="str">
        <f>VLOOKUP(AG78,AG2:AR85,$AE$1+1,FALSE)</f>
        <v>Datum:</v>
      </c>
      <c r="AA56" s="15" t="str">
        <f>VLOOKUP(AG79,AG2:AR85,$AE$1+1,FALSE)</f>
        <v>Massst.:</v>
      </c>
      <c r="AB56" s="16" t="str">
        <f>VLOOKUP(AG80,AG2:AR85,$AE$1+1,FALSE)</f>
        <v>Format:</v>
      </c>
      <c r="AG56" t="str">
        <f t="shared" si="0"/>
        <v>Lichte Breite</v>
      </c>
      <c r="AH56" t="s">
        <v>368</v>
      </c>
      <c r="AI56" t="s">
        <v>25</v>
      </c>
      <c r="AJ56" t="s">
        <v>26</v>
      </c>
      <c r="AK56" t="s">
        <v>27</v>
      </c>
      <c r="AL56" t="s">
        <v>28</v>
      </c>
      <c r="AM56" t="s">
        <v>29</v>
      </c>
      <c r="AN56" t="s">
        <v>30</v>
      </c>
      <c r="AO56" t="s">
        <v>31</v>
      </c>
      <c r="AP56" t="s">
        <v>369</v>
      </c>
    </row>
    <row r="57" spans="2:61" ht="15.75" thickBot="1">
      <c r="B57" s="15" t="s">
        <v>370</v>
      </c>
      <c r="C57" s="1" t="str">
        <f t="shared" si="2"/>
        <v>Freiraum LINKS</v>
      </c>
      <c r="D57" s="52"/>
      <c r="E57" s="52"/>
      <c r="F57" s="53" t="str">
        <f>IF(OR(J3="",J7=""),"L",IF(Obrázky!Y16="","L",IF(OR(J3="",J7=""),"L",Obrázky!$Y$16)))</f>
        <v>L</v>
      </c>
      <c r="G57" s="52"/>
      <c r="H57" s="52"/>
      <c r="I57" s="52"/>
      <c r="J57" s="52"/>
      <c r="K57" s="52"/>
      <c r="L57" s="53"/>
      <c r="M57" s="15" t="s">
        <v>371</v>
      </c>
      <c r="N57" s="52"/>
      <c r="O57" s="52"/>
      <c r="P57" s="11">
        <v>670</v>
      </c>
      <c r="R57" s="124" t="s">
        <v>372</v>
      </c>
      <c r="S57" s="125"/>
      <c r="T57" s="124" t="s">
        <v>373</v>
      </c>
      <c r="U57" s="125"/>
      <c r="V57" s="129">
        <v>45244</v>
      </c>
      <c r="W57" s="130"/>
      <c r="X57" s="124" t="s">
        <v>374</v>
      </c>
      <c r="Y57" s="125"/>
      <c r="Z57" s="63">
        <v>45244</v>
      </c>
      <c r="AA57" s="64" t="s">
        <v>375</v>
      </c>
      <c r="AB57" s="65" t="s">
        <v>376</v>
      </c>
      <c r="AG57" t="str">
        <f t="shared" si="0"/>
        <v>Lichte Höhe</v>
      </c>
      <c r="AH57" t="s">
        <v>377</v>
      </c>
      <c r="AI57" t="s">
        <v>34</v>
      </c>
      <c r="AJ57" t="s">
        <v>35</v>
      </c>
      <c r="AK57" t="s">
        <v>36</v>
      </c>
      <c r="AL57" t="s">
        <v>37</v>
      </c>
      <c r="AM57" t="s">
        <v>38</v>
      </c>
      <c r="AN57" t="s">
        <v>39</v>
      </c>
      <c r="AO57" t="s">
        <v>40</v>
      </c>
      <c r="AP57" t="s">
        <v>378</v>
      </c>
    </row>
    <row r="58" spans="2:61" ht="15.75" customHeight="1" thickBot="1">
      <c r="B58" s="15" t="s">
        <v>379</v>
      </c>
      <c r="C58" s="1" t="str">
        <f t="shared" si="2"/>
        <v>Freiraum RECHTS</v>
      </c>
      <c r="D58" s="52"/>
      <c r="E58" s="52"/>
      <c r="F58" s="53" t="str">
        <f>IF(OR(J3="",J7=""),"R",IF(Obrázky!Y17="","R",IF(OR(J3="",J7=""),"R",Obrázky!$Y$17)))</f>
        <v>R</v>
      </c>
      <c r="G58" s="51"/>
      <c r="H58" s="52"/>
      <c r="I58" s="52"/>
      <c r="J58" s="52"/>
      <c r="K58" s="52"/>
      <c r="L58" s="53"/>
      <c r="M58" s="15"/>
      <c r="N58" s="52"/>
      <c r="O58" s="52"/>
      <c r="P58" s="53"/>
      <c r="R58" s="100" t="s">
        <v>380</v>
      </c>
      <c r="S58" s="101"/>
      <c r="T58" s="101"/>
      <c r="U58" s="102"/>
      <c r="V58" s="106" t="str">
        <f>VLOOKUP(AG81,AG2:AR85,$AE$1+1,FALSE)</f>
        <v>BAUBEREITSCHAFT</v>
      </c>
      <c r="W58" s="107"/>
      <c r="X58" s="107"/>
      <c r="Y58" s="107"/>
      <c r="Z58" s="107"/>
      <c r="AA58" s="107"/>
      <c r="AB58" s="108"/>
      <c r="AG58" t="str">
        <f t="shared" si="0"/>
        <v>Höhe Innenraum</v>
      </c>
      <c r="AH58" t="s">
        <v>381</v>
      </c>
      <c r="AI58" t="s">
        <v>382</v>
      </c>
      <c r="AJ58" t="s">
        <v>383</v>
      </c>
      <c r="AK58" t="s">
        <v>384</v>
      </c>
      <c r="AL58" t="s">
        <v>385</v>
      </c>
      <c r="AM58" t="s">
        <v>386</v>
      </c>
      <c r="AN58" t="s">
        <v>387</v>
      </c>
      <c r="AO58" t="s">
        <v>388</v>
      </c>
      <c r="AP58" t="s">
        <v>389</v>
      </c>
    </row>
    <row r="59" spans="2:61" ht="15.75" customHeight="1" thickBot="1">
      <c r="B59" s="15" t="s">
        <v>390</v>
      </c>
      <c r="C59" s="1" t="str">
        <f t="shared" si="2"/>
        <v>Einbautiefe</v>
      </c>
      <c r="D59" s="52"/>
      <c r="E59" s="52"/>
      <c r="F59" s="53"/>
      <c r="M59" s="15" t="s">
        <v>391</v>
      </c>
      <c r="N59" s="112" t="str">
        <f>IF(OR(J3&gt;3000,J5&gt;3000,J9=AG102),350,AG86)</f>
        <v>NICHT ERFORDELICH</v>
      </c>
      <c r="O59" s="113"/>
      <c r="P59" s="114"/>
      <c r="R59" s="103"/>
      <c r="S59" s="104"/>
      <c r="T59" s="104"/>
      <c r="U59" s="105"/>
      <c r="V59" s="109"/>
      <c r="W59" s="110"/>
      <c r="X59" s="110"/>
      <c r="Y59" s="110"/>
      <c r="Z59" s="110"/>
      <c r="AA59" s="110"/>
      <c r="AB59" s="111"/>
      <c r="AG59" t="str">
        <f t="shared" si="0"/>
        <v>Freiraum über Sturz</v>
      </c>
      <c r="AH59" t="s">
        <v>392</v>
      </c>
      <c r="AI59" t="s">
        <v>393</v>
      </c>
      <c r="AJ59" t="s">
        <v>394</v>
      </c>
      <c r="AK59" t="s">
        <v>395</v>
      </c>
      <c r="AL59" t="s">
        <v>396</v>
      </c>
      <c r="AM59" t="s">
        <v>397</v>
      </c>
      <c r="AN59" t="s">
        <v>398</v>
      </c>
      <c r="AO59" t="s">
        <v>399</v>
      </c>
      <c r="AP59" t="s">
        <v>400</v>
      </c>
    </row>
    <row r="60" spans="2:61" ht="15.75" customHeight="1" thickBot="1">
      <c r="B60" s="15" t="s">
        <v>401</v>
      </c>
      <c r="C60" s="1" t="str">
        <f t="shared" si="2"/>
        <v>Freiplatz auf der Mountageplatz</v>
      </c>
      <c r="D60" s="52"/>
      <c r="E60" s="52"/>
      <c r="F60" s="53"/>
      <c r="G60" s="52"/>
      <c r="H60" s="52"/>
      <c r="I60" s="52"/>
      <c r="J60" s="52"/>
      <c r="K60" s="52"/>
      <c r="L60" s="53"/>
      <c r="P60" s="11"/>
      <c r="R60" s="30"/>
      <c r="V60" s="115" t="str">
        <f>AG10</f>
        <v>VERTIKALFÜHRUNG MIT VORMONTIERTER WELLE (VL-T)</v>
      </c>
      <c r="W60" s="116"/>
      <c r="X60" s="116"/>
      <c r="Y60" s="116"/>
      <c r="Z60" s="116"/>
      <c r="AA60" s="116"/>
      <c r="AB60" s="117"/>
      <c r="AG60" t="str">
        <f t="shared" si="0"/>
        <v>Höhe über Montagefläche Loch</v>
      </c>
      <c r="AH60" t="s">
        <v>402</v>
      </c>
      <c r="AI60" t="s">
        <v>403</v>
      </c>
      <c r="AJ60" t="s">
        <v>404</v>
      </c>
      <c r="AK60" t="s">
        <v>405</v>
      </c>
      <c r="AL60" t="s">
        <v>406</v>
      </c>
      <c r="AM60" t="s">
        <v>407</v>
      </c>
      <c r="AN60" t="s">
        <v>408</v>
      </c>
      <c r="AO60" t="s">
        <v>409</v>
      </c>
      <c r="AP60" t="s">
        <v>410</v>
      </c>
    </row>
    <row r="61" spans="2:61" ht="15.75" customHeight="1" thickBot="1">
      <c r="B61" s="66"/>
      <c r="C61" s="52"/>
      <c r="D61" s="52"/>
      <c r="E61" s="52"/>
      <c r="F61" s="53"/>
      <c r="G61" s="52"/>
      <c r="H61" s="52"/>
      <c r="I61" s="52"/>
      <c r="J61" s="52"/>
      <c r="K61" s="52"/>
      <c r="L61" s="53"/>
      <c r="P61" s="11"/>
      <c r="R61" s="30"/>
      <c r="V61" s="118"/>
      <c r="W61" s="119"/>
      <c r="X61" s="119"/>
      <c r="Y61" s="119"/>
      <c r="Z61" s="119"/>
      <c r="AA61" s="119"/>
      <c r="AB61" s="120"/>
      <c r="AG61" t="str">
        <f t="shared" si="0"/>
        <v>Freiraum LINKS</v>
      </c>
      <c r="AH61" t="s">
        <v>411</v>
      </c>
      <c r="AI61" t="s">
        <v>412</v>
      </c>
      <c r="AJ61" t="s">
        <v>413</v>
      </c>
      <c r="AK61" t="s">
        <v>414</v>
      </c>
      <c r="AL61" t="s">
        <v>415</v>
      </c>
      <c r="AM61" t="s">
        <v>416</v>
      </c>
      <c r="AN61" t="s">
        <v>417</v>
      </c>
      <c r="AO61" t="s">
        <v>418</v>
      </c>
      <c r="AP61" t="s">
        <v>419</v>
      </c>
    </row>
    <row r="62" spans="2:61" ht="15.75" thickBot="1">
      <c r="B62" s="66"/>
      <c r="C62" s="52"/>
      <c r="D62" s="52"/>
      <c r="E62" s="52"/>
      <c r="F62" s="53"/>
      <c r="G62" s="52"/>
      <c r="H62" s="52"/>
      <c r="I62" s="52"/>
      <c r="J62" s="52"/>
      <c r="K62" s="52"/>
      <c r="L62" s="53"/>
      <c r="P62" s="11"/>
      <c r="R62" s="30"/>
      <c r="V62" s="121">
        <f>VLOOKUP(AG82,AG2:AR85,$AE$1+1,FALSE)</f>
        <v>0</v>
      </c>
      <c r="W62" s="122"/>
      <c r="X62" s="122"/>
      <c r="Y62" s="123"/>
      <c r="Z62" s="15" t="str">
        <f>VLOOKUP(AG84,AG2:AR85,$AE$1+1,FALSE)</f>
        <v>Kode:</v>
      </c>
      <c r="AA62" s="124" t="str">
        <f>VLOOKUP(AG85,AG2:AR85,$AE$1+1,FALSE)</f>
        <v>Version:</v>
      </c>
      <c r="AB62" s="125"/>
      <c r="AG62" t="str">
        <f t="shared" si="0"/>
        <v>Freiraum RECHTS</v>
      </c>
      <c r="AH62" t="s">
        <v>420</v>
      </c>
      <c r="AI62" t="s">
        <v>421</v>
      </c>
      <c r="AJ62" t="s">
        <v>422</v>
      </c>
      <c r="AK62" t="s">
        <v>423</v>
      </c>
      <c r="AL62" t="s">
        <v>424</v>
      </c>
      <c r="AM62" t="s">
        <v>425</v>
      </c>
      <c r="AN62" t="s">
        <v>426</v>
      </c>
      <c r="AO62" t="s">
        <v>427</v>
      </c>
      <c r="AP62" t="s">
        <v>428</v>
      </c>
    </row>
    <row r="63" spans="2:61" ht="15.75" thickBot="1">
      <c r="B63" s="66"/>
      <c r="C63" s="52"/>
      <c r="D63" s="52"/>
      <c r="E63" s="52"/>
      <c r="F63" s="53"/>
      <c r="G63" s="52"/>
      <c r="H63" s="52"/>
      <c r="I63" s="52"/>
      <c r="J63" s="52"/>
      <c r="K63" s="1"/>
      <c r="L63" s="61"/>
      <c r="M63" s="1"/>
      <c r="N63" s="1"/>
      <c r="O63" s="1"/>
      <c r="P63" s="61"/>
      <c r="Q63" s="1"/>
      <c r="R63" s="67"/>
      <c r="S63" s="1"/>
      <c r="T63" s="1"/>
      <c r="U63" s="1"/>
      <c r="V63" s="97"/>
      <c r="W63" s="98"/>
      <c r="X63" s="98"/>
      <c r="Y63" s="99"/>
      <c r="Z63" s="68" t="s">
        <v>429</v>
      </c>
      <c r="AA63" s="97">
        <v>2346</v>
      </c>
      <c r="AB63" s="99"/>
      <c r="AG63" t="str">
        <f t="shared" si="0"/>
        <v>Einbautiefe</v>
      </c>
      <c r="AH63" t="s">
        <v>430</v>
      </c>
      <c r="AI63" t="s">
        <v>431</v>
      </c>
      <c r="AJ63" t="s">
        <v>432</v>
      </c>
      <c r="AK63" t="s">
        <v>433</v>
      </c>
      <c r="AL63" t="s">
        <v>434</v>
      </c>
      <c r="AM63" t="s">
        <v>435</v>
      </c>
      <c r="AN63" t="s">
        <v>436</v>
      </c>
      <c r="AO63" t="s">
        <v>437</v>
      </c>
      <c r="AP63" t="s">
        <v>438</v>
      </c>
    </row>
    <row r="64" spans="2:61">
      <c r="AG64" t="str">
        <f t="shared" si="0"/>
        <v>Freiplatz auf der Mountageplatz</v>
      </c>
      <c r="AH64" s="20" t="s">
        <v>439</v>
      </c>
      <c r="AI64" s="20" t="s">
        <v>440</v>
      </c>
      <c r="AJ64" s="20" t="s">
        <v>441</v>
      </c>
      <c r="AK64" s="20" t="s">
        <v>442</v>
      </c>
      <c r="AL64" s="20" t="s">
        <v>443</v>
      </c>
      <c r="AM64" s="20" t="s">
        <v>444</v>
      </c>
      <c r="AN64" s="20" t="s">
        <v>445</v>
      </c>
      <c r="AO64" s="20" t="s">
        <v>446</v>
      </c>
      <c r="AP64" s="20" t="s">
        <v>447</v>
      </c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6:63">
      <c r="AG65" t="str">
        <f t="shared" si="0"/>
        <v>Handbedienung</v>
      </c>
      <c r="AH65" t="s">
        <v>448</v>
      </c>
      <c r="AI65" t="s">
        <v>449</v>
      </c>
      <c r="AJ65" t="s">
        <v>450</v>
      </c>
      <c r="AK65" t="s">
        <v>451</v>
      </c>
      <c r="AL65" t="s">
        <v>452</v>
      </c>
      <c r="AM65" t="s">
        <v>453</v>
      </c>
      <c r="AN65" t="s">
        <v>454</v>
      </c>
      <c r="AO65" t="s">
        <v>455</v>
      </c>
      <c r="AP65" t="s">
        <v>456</v>
      </c>
      <c r="BJ65" s="20"/>
      <c r="BK65" s="20"/>
    </row>
    <row r="66" spans="16:63">
      <c r="AG66" t="str">
        <f t="shared" si="0"/>
        <v>Beide Seiten</v>
      </c>
      <c r="AH66" t="s">
        <v>457</v>
      </c>
      <c r="AI66" t="s">
        <v>458</v>
      </c>
      <c r="AJ66" t="s">
        <v>459</v>
      </c>
      <c r="AK66" t="s">
        <v>460</v>
      </c>
      <c r="AL66" t="s">
        <v>461</v>
      </c>
      <c r="AM66" t="s">
        <v>462</v>
      </c>
      <c r="AN66" t="s">
        <v>463</v>
      </c>
      <c r="AO66" t="s">
        <v>464</v>
      </c>
      <c r="AP66" t="s">
        <v>465</v>
      </c>
    </row>
    <row r="67" spans="16:63">
      <c r="AG67" t="str">
        <f t="shared" ref="AG67:AG88" si="3">VLOOKUP(AH67,AH67:AR150,$AE$1,FALSE)</f>
        <v>Elektrisch- oder Haspelkettenbedient</v>
      </c>
      <c r="AH67" t="s">
        <v>466</v>
      </c>
      <c r="AI67" t="s">
        <v>467</v>
      </c>
      <c r="AJ67" t="s">
        <v>468</v>
      </c>
      <c r="AK67" t="s">
        <v>469</v>
      </c>
      <c r="AL67" t="s">
        <v>470</v>
      </c>
      <c r="AM67" t="s">
        <v>471</v>
      </c>
      <c r="AN67" t="s">
        <v>472</v>
      </c>
      <c r="AO67" t="s">
        <v>473</v>
      </c>
      <c r="AP67" t="s">
        <v>474</v>
      </c>
    </row>
    <row r="68" spans="16:63">
      <c r="AG68" t="str">
        <f t="shared" si="3"/>
        <v>Motor-oder Kettenseite</v>
      </c>
      <c r="AH68" t="s">
        <v>475</v>
      </c>
      <c r="AI68" t="s">
        <v>476</v>
      </c>
      <c r="AJ68" t="s">
        <v>477</v>
      </c>
      <c r="AK68" t="s">
        <v>478</v>
      </c>
      <c r="AL68" t="s">
        <v>479</v>
      </c>
      <c r="AM68" t="s">
        <v>480</v>
      </c>
      <c r="AN68" t="s">
        <v>481</v>
      </c>
      <c r="AO68" t="s">
        <v>482</v>
      </c>
      <c r="AP68" t="s">
        <v>483</v>
      </c>
    </row>
    <row r="69" spans="16:63">
      <c r="AG69" t="str">
        <f t="shared" si="3"/>
        <v>Einbautiefe</v>
      </c>
      <c r="AH69" t="s">
        <v>430</v>
      </c>
      <c r="AI69" t="s">
        <v>431</v>
      </c>
      <c r="AJ69" t="s">
        <v>432</v>
      </c>
      <c r="AK69" t="s">
        <v>484</v>
      </c>
      <c r="AL69" t="s">
        <v>434</v>
      </c>
      <c r="AM69" t="s">
        <v>435</v>
      </c>
      <c r="AN69" t="s">
        <v>436</v>
      </c>
      <c r="AO69" t="s">
        <v>485</v>
      </c>
      <c r="AP69" t="s">
        <v>438</v>
      </c>
    </row>
    <row r="70" spans="16:63">
      <c r="AG70" t="str">
        <f t="shared" si="3"/>
        <v>Freiraum über Sturz</v>
      </c>
      <c r="AH70" t="s">
        <v>392</v>
      </c>
      <c r="AI70" t="s">
        <v>393</v>
      </c>
      <c r="AJ70" t="s">
        <v>394</v>
      </c>
      <c r="AK70" t="s">
        <v>486</v>
      </c>
      <c r="AL70" t="s">
        <v>396</v>
      </c>
      <c r="AM70" t="s">
        <v>397</v>
      </c>
      <c r="AN70" t="s">
        <v>487</v>
      </c>
      <c r="AO70" t="s">
        <v>488</v>
      </c>
      <c r="AP70" t="s">
        <v>400</v>
      </c>
    </row>
    <row r="71" spans="16:63">
      <c r="P71" s="69"/>
      <c r="Q71" s="69"/>
      <c r="AG71" t="str">
        <f t="shared" si="3"/>
        <v>Mitte Achse zum Sturz</v>
      </c>
      <c r="AH71" t="s">
        <v>489</v>
      </c>
      <c r="AI71" t="s">
        <v>490</v>
      </c>
      <c r="AJ71" t="s">
        <v>491</v>
      </c>
      <c r="AK71" t="s">
        <v>492</v>
      </c>
      <c r="AL71" t="s">
        <v>493</v>
      </c>
      <c r="AM71" t="s">
        <v>494</v>
      </c>
      <c r="AN71" t="s">
        <v>495</v>
      </c>
      <c r="AO71" t="s">
        <v>496</v>
      </c>
      <c r="AP71" t="s">
        <v>497</v>
      </c>
    </row>
    <row r="74" spans="16:63">
      <c r="AG74" t="str">
        <f t="shared" si="3"/>
        <v>Aufgestellt:</v>
      </c>
      <c r="AH74" t="s">
        <v>498</v>
      </c>
      <c r="AI74" t="s">
        <v>499</v>
      </c>
      <c r="AJ74" t="s">
        <v>500</v>
      </c>
      <c r="AK74" t="s">
        <v>501</v>
      </c>
      <c r="AL74" t="s">
        <v>502</v>
      </c>
      <c r="AM74" t="s">
        <v>503</v>
      </c>
      <c r="AN74" t="s">
        <v>504</v>
      </c>
      <c r="AO74" t="s">
        <v>505</v>
      </c>
      <c r="AP74" t="s">
        <v>506</v>
      </c>
    </row>
    <row r="75" spans="16:63">
      <c r="AG75" t="str">
        <f t="shared" si="3"/>
        <v>Bereinigt:</v>
      </c>
      <c r="AH75" t="s">
        <v>507</v>
      </c>
      <c r="AI75" t="s">
        <v>508</v>
      </c>
      <c r="AJ75" t="s">
        <v>509</v>
      </c>
      <c r="AK75" t="s">
        <v>510</v>
      </c>
      <c r="AL75" t="s">
        <v>511</v>
      </c>
      <c r="AM75" t="s">
        <v>512</v>
      </c>
      <c r="AN75" t="s">
        <v>513</v>
      </c>
      <c r="AO75" t="s">
        <v>514</v>
      </c>
      <c r="AP75" t="s">
        <v>515</v>
      </c>
    </row>
    <row r="76" spans="16:63">
      <c r="AG76" t="str">
        <f t="shared" si="3"/>
        <v>Bereinigt am:</v>
      </c>
      <c r="AH76" t="s">
        <v>516</v>
      </c>
      <c r="AI76" t="s">
        <v>517</v>
      </c>
      <c r="AJ76" t="s">
        <v>518</v>
      </c>
      <c r="AK76" t="s">
        <v>519</v>
      </c>
      <c r="AL76" t="s">
        <v>520</v>
      </c>
      <c r="AM76" t="s">
        <v>521</v>
      </c>
      <c r="AN76" t="s">
        <v>522</v>
      </c>
      <c r="AO76" t="s">
        <v>523</v>
      </c>
      <c r="AP76" t="s">
        <v>524</v>
      </c>
    </row>
    <row r="77" spans="16:63">
      <c r="AG77" t="str">
        <f t="shared" si="3"/>
        <v>Dateiname:</v>
      </c>
      <c r="AH77" t="s">
        <v>525</v>
      </c>
      <c r="AI77" t="s">
        <v>526</v>
      </c>
      <c r="AJ77" t="s">
        <v>527</v>
      </c>
      <c r="AK77" t="s">
        <v>528</v>
      </c>
      <c r="AL77" t="s">
        <v>529</v>
      </c>
      <c r="AM77" t="s">
        <v>530</v>
      </c>
      <c r="AN77" t="s">
        <v>531</v>
      </c>
      <c r="AO77" t="s">
        <v>532</v>
      </c>
      <c r="AP77" t="s">
        <v>533</v>
      </c>
    </row>
    <row r="78" spans="16:63">
      <c r="AG78" t="str">
        <f t="shared" si="3"/>
        <v>Datum:</v>
      </c>
      <c r="AH78" t="s">
        <v>534</v>
      </c>
      <c r="AI78" t="s">
        <v>535</v>
      </c>
      <c r="AJ78" t="s">
        <v>534</v>
      </c>
      <c r="AK78" t="s">
        <v>536</v>
      </c>
      <c r="AL78" t="s">
        <v>537</v>
      </c>
      <c r="AM78" t="s">
        <v>534</v>
      </c>
      <c r="AN78" t="s">
        <v>538</v>
      </c>
      <c r="AO78" t="s">
        <v>539</v>
      </c>
      <c r="AP78" t="s">
        <v>540</v>
      </c>
    </row>
    <row r="79" spans="16:63">
      <c r="AG79" t="str">
        <f t="shared" si="3"/>
        <v>Massst.:</v>
      </c>
      <c r="AH79" t="s">
        <v>541</v>
      </c>
      <c r="AI79" t="s">
        <v>542</v>
      </c>
      <c r="AJ79" t="s">
        <v>543</v>
      </c>
      <c r="AK79" t="s">
        <v>544</v>
      </c>
      <c r="AL79" t="s">
        <v>545</v>
      </c>
      <c r="AM79" t="s">
        <v>546</v>
      </c>
      <c r="AN79" t="s">
        <v>547</v>
      </c>
      <c r="AO79" t="s">
        <v>548</v>
      </c>
      <c r="AP79" t="s">
        <v>549</v>
      </c>
    </row>
    <row r="80" spans="16:63">
      <c r="AG80" t="str">
        <f t="shared" si="3"/>
        <v>Format:</v>
      </c>
      <c r="AH80" t="s">
        <v>550</v>
      </c>
      <c r="AI80" t="s">
        <v>551</v>
      </c>
      <c r="AJ80" t="s">
        <v>552</v>
      </c>
      <c r="AK80" t="s">
        <v>552</v>
      </c>
      <c r="AL80" t="s">
        <v>553</v>
      </c>
      <c r="AM80" t="s">
        <v>551</v>
      </c>
      <c r="AN80" t="s">
        <v>554</v>
      </c>
      <c r="AO80" t="s">
        <v>555</v>
      </c>
      <c r="AP80" t="s">
        <v>556</v>
      </c>
    </row>
    <row r="81" spans="33:63" ht="14.25" customHeight="1">
      <c r="AG81" t="str">
        <f>VLOOKUP(AH81,AH81:AR172,$AE$1,FALSE)</f>
        <v>BAUBEREITSCHAFT</v>
      </c>
      <c r="AH81" t="s">
        <v>557</v>
      </c>
      <c r="AI81" t="s">
        <v>558</v>
      </c>
      <c r="AJ81" t="s">
        <v>559</v>
      </c>
      <c r="AK81" t="s">
        <v>560</v>
      </c>
      <c r="AL81" t="s">
        <v>561</v>
      </c>
      <c r="AM81" s="70"/>
      <c r="AN81" t="s">
        <v>562</v>
      </c>
      <c r="AO81" t="s">
        <v>563</v>
      </c>
      <c r="AP81" t="s">
        <v>564</v>
      </c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33:63">
      <c r="AG82">
        <f t="shared" si="3"/>
        <v>0</v>
      </c>
      <c r="AH82" t="s">
        <v>565</v>
      </c>
      <c r="AI82" t="s">
        <v>566</v>
      </c>
      <c r="AK82" t="s">
        <v>567</v>
      </c>
      <c r="AM82" t="s">
        <v>568</v>
      </c>
      <c r="AN82" t="s">
        <v>569</v>
      </c>
      <c r="AO82" t="s">
        <v>97</v>
      </c>
      <c r="AP82" t="s">
        <v>98</v>
      </c>
      <c r="BJ82" s="20"/>
      <c r="BK82" s="20"/>
    </row>
    <row r="83" spans="33:63">
      <c r="AG83">
        <f t="shared" si="3"/>
        <v>0</v>
      </c>
      <c r="AH83" t="s">
        <v>570</v>
      </c>
      <c r="AI83" t="s">
        <v>571</v>
      </c>
      <c r="AK83" t="s">
        <v>572</v>
      </c>
      <c r="AL83" t="s">
        <v>573</v>
      </c>
      <c r="AM83" t="s">
        <v>574</v>
      </c>
    </row>
    <row r="84" spans="33:63">
      <c r="AG84" t="str">
        <f t="shared" si="3"/>
        <v>Kode:</v>
      </c>
      <c r="AH84" t="s">
        <v>575</v>
      </c>
      <c r="AI84" t="s">
        <v>576</v>
      </c>
      <c r="AJ84" t="s">
        <v>577</v>
      </c>
      <c r="AK84" t="s">
        <v>578</v>
      </c>
      <c r="AL84" t="s">
        <v>579</v>
      </c>
      <c r="AM84" t="s">
        <v>580</v>
      </c>
      <c r="AN84" t="s">
        <v>581</v>
      </c>
      <c r="AO84" t="s">
        <v>582</v>
      </c>
      <c r="AP84" t="s">
        <v>583</v>
      </c>
    </row>
    <row r="85" spans="33:63">
      <c r="AG85" t="str">
        <f t="shared" si="3"/>
        <v>Version:</v>
      </c>
      <c r="AH85" t="s">
        <v>584</v>
      </c>
      <c r="AI85" t="s">
        <v>585</v>
      </c>
      <c r="AJ85" t="s">
        <v>585</v>
      </c>
      <c r="AK85" t="s">
        <v>586</v>
      </c>
      <c r="AL85" t="s">
        <v>587</v>
      </c>
      <c r="AM85" t="s">
        <v>588</v>
      </c>
      <c r="AN85" t="s">
        <v>589</v>
      </c>
      <c r="AO85" t="s">
        <v>590</v>
      </c>
      <c r="AP85" t="s">
        <v>591</v>
      </c>
    </row>
    <row r="86" spans="33:63">
      <c r="AG86" t="str">
        <f t="shared" si="3"/>
        <v>NICHT ERFORDELICH</v>
      </c>
      <c r="AH86" t="s">
        <v>592</v>
      </c>
      <c r="AI86" t="s">
        <v>593</v>
      </c>
      <c r="AJ86" t="s">
        <v>594</v>
      </c>
      <c r="AK86" t="s">
        <v>595</v>
      </c>
      <c r="AL86" t="s">
        <v>596</v>
      </c>
      <c r="AM86" t="s">
        <v>597</v>
      </c>
      <c r="AN86" t="s">
        <v>598</v>
      </c>
      <c r="AO86" t="s">
        <v>599</v>
      </c>
      <c r="AP86" t="s">
        <v>600</v>
      </c>
    </row>
    <row r="88" spans="33:63">
      <c r="AG88" t="str">
        <f t="shared" si="3"/>
        <v>Fülen Sie bitte markierte Felder!</v>
      </c>
      <c r="AH88" t="s">
        <v>601</v>
      </c>
      <c r="AI88" t="s">
        <v>602</v>
      </c>
      <c r="AJ88" t="s">
        <v>603</v>
      </c>
      <c r="AK88" t="s">
        <v>604</v>
      </c>
      <c r="AL88" t="s">
        <v>605</v>
      </c>
      <c r="AM88" t="s">
        <v>606</v>
      </c>
      <c r="AN88" t="s">
        <v>607</v>
      </c>
      <c r="AO88" t="s">
        <v>608</v>
      </c>
      <c r="AP88" t="s">
        <v>609</v>
      </c>
    </row>
    <row r="90" spans="33:63">
      <c r="AG90" t="str">
        <f>VLOOKUP(AH90,AH90:AR166,$AE$1,FALSE)</f>
        <v>Geschweißte Stahlkonstruktion des Profils nach dem Maße 100x50x4</v>
      </c>
      <c r="AH90" t="s">
        <v>610</v>
      </c>
      <c r="AI90" t="s">
        <v>611</v>
      </c>
      <c r="AJ90" t="s">
        <v>612</v>
      </c>
      <c r="AK90" t="s">
        <v>613</v>
      </c>
      <c r="AL90" t="s">
        <v>614</v>
      </c>
      <c r="AM90" t="s">
        <v>615</v>
      </c>
      <c r="AN90" t="s">
        <v>616</v>
      </c>
      <c r="AO90" t="s">
        <v>617</v>
      </c>
      <c r="AP90" t="s">
        <v>618</v>
      </c>
    </row>
    <row r="92" spans="33:63">
      <c r="AG92" t="str">
        <f t="shared" ref="AG92:AG94" si="4">VLOOKUP(AH92,AH92:AR181,$AE$1,FALSE)</f>
        <v>Bedienung</v>
      </c>
      <c r="AH92" t="s">
        <v>619</v>
      </c>
      <c r="AI92" t="s">
        <v>620</v>
      </c>
      <c r="AJ92" t="s">
        <v>621</v>
      </c>
      <c r="AK92" t="s">
        <v>622</v>
      </c>
      <c r="AL92" t="s">
        <v>623</v>
      </c>
      <c r="AM92" t="s">
        <v>624</v>
      </c>
      <c r="AN92" t="s">
        <v>625</v>
      </c>
      <c r="AO92" t="s">
        <v>626</v>
      </c>
      <c r="AP92" t="s">
        <v>627</v>
      </c>
    </row>
    <row r="93" spans="33:63">
      <c r="AG93" t="str">
        <f t="shared" si="4"/>
        <v>hand</v>
      </c>
      <c r="AH93" t="s">
        <v>628</v>
      </c>
      <c r="AI93" t="s">
        <v>629</v>
      </c>
      <c r="AJ93" t="s">
        <v>630</v>
      </c>
      <c r="AK93" t="s">
        <v>631</v>
      </c>
      <c r="AL93" t="s">
        <v>632</v>
      </c>
      <c r="AM93" t="s">
        <v>630</v>
      </c>
      <c r="AN93" t="s">
        <v>633</v>
      </c>
      <c r="AO93" t="s">
        <v>634</v>
      </c>
      <c r="AP93" s="71" t="s">
        <v>635</v>
      </c>
    </row>
    <row r="94" spans="33:63" ht="15" customHeight="1">
      <c r="AG94" t="str">
        <f t="shared" si="4"/>
        <v>elektrisch</v>
      </c>
      <c r="AH94" t="s">
        <v>636</v>
      </c>
      <c r="AI94" t="s">
        <v>637</v>
      </c>
      <c r="AJ94" t="s">
        <v>638</v>
      </c>
      <c r="AK94" t="s">
        <v>639</v>
      </c>
      <c r="AL94" t="s">
        <v>640</v>
      </c>
      <c r="AM94" t="s">
        <v>638</v>
      </c>
      <c r="AN94" t="s">
        <v>641</v>
      </c>
      <c r="AO94" t="s">
        <v>642</v>
      </c>
      <c r="AP94" s="71" t="s">
        <v>474</v>
      </c>
    </row>
    <row r="95" spans="33:63" ht="21.75" customHeight="1">
      <c r="AG95" t="str">
        <f t="shared" ref="AG95:AG99" si="5">VLOOKUP(AH95,AH95:AR189,$AE$1,FALSE)</f>
        <v>Haspelkette - links</v>
      </c>
      <c r="AH95" t="s">
        <v>643</v>
      </c>
      <c r="AI95" t="s">
        <v>644</v>
      </c>
      <c r="AJ95" t="s">
        <v>645</v>
      </c>
      <c r="AK95" t="s">
        <v>646</v>
      </c>
      <c r="AL95" t="s">
        <v>647</v>
      </c>
      <c r="AM95" t="s">
        <v>648</v>
      </c>
      <c r="AN95" t="s">
        <v>649</v>
      </c>
      <c r="AO95" t="s">
        <v>650</v>
      </c>
      <c r="AP95" s="72" t="s">
        <v>651</v>
      </c>
    </row>
    <row r="96" spans="33:63">
      <c r="AG96" t="str">
        <f t="shared" si="5"/>
        <v>Haspelkette - rechts</v>
      </c>
      <c r="AH96" t="s">
        <v>652</v>
      </c>
      <c r="AI96" t="s">
        <v>653</v>
      </c>
      <c r="AJ96" t="s">
        <v>654</v>
      </c>
      <c r="AK96" s="73" t="s">
        <v>655</v>
      </c>
      <c r="AL96" t="s">
        <v>656</v>
      </c>
      <c r="AM96" t="s">
        <v>657</v>
      </c>
      <c r="AN96" t="s">
        <v>658</v>
      </c>
      <c r="AO96" t="s">
        <v>659</v>
      </c>
      <c r="AP96" t="s">
        <v>660</v>
      </c>
    </row>
    <row r="97" spans="33:42">
      <c r="AG97" t="str">
        <f t="shared" si="5"/>
        <v>Antriebesposition</v>
      </c>
      <c r="AH97" t="s">
        <v>661</v>
      </c>
      <c r="AI97" t="s">
        <v>662</v>
      </c>
      <c r="AJ97" t="s">
        <v>663</v>
      </c>
      <c r="AK97" t="s">
        <v>664</v>
      </c>
      <c r="AL97" t="s">
        <v>665</v>
      </c>
      <c r="AM97" t="s">
        <v>666</v>
      </c>
      <c r="AN97" t="s">
        <v>667</v>
      </c>
      <c r="AO97" t="s">
        <v>668</v>
      </c>
      <c r="AP97" t="s">
        <v>669</v>
      </c>
    </row>
    <row r="98" spans="33:42">
      <c r="AG98" t="str">
        <f t="shared" si="5"/>
        <v>Antrieb - links</v>
      </c>
      <c r="AH98" t="s">
        <v>670</v>
      </c>
      <c r="AI98" t="s">
        <v>671</v>
      </c>
      <c r="AJ98" t="s">
        <v>672</v>
      </c>
      <c r="AK98" t="s">
        <v>673</v>
      </c>
      <c r="AL98" t="s">
        <v>674</v>
      </c>
      <c r="AM98" t="s">
        <v>675</v>
      </c>
      <c r="AN98" t="s">
        <v>676</v>
      </c>
      <c r="AO98" t="s">
        <v>677</v>
      </c>
      <c r="AP98" t="s">
        <v>678</v>
      </c>
    </row>
    <row r="99" spans="33:42">
      <c r="AG99" t="str">
        <f t="shared" si="5"/>
        <v>Antrieb - rechts</v>
      </c>
      <c r="AH99" t="s">
        <v>679</v>
      </c>
      <c r="AI99" t="s">
        <v>680</v>
      </c>
      <c r="AJ99" t="s">
        <v>681</v>
      </c>
      <c r="AK99" t="s">
        <v>682</v>
      </c>
      <c r="AL99" t="s">
        <v>683</v>
      </c>
      <c r="AM99" t="s">
        <v>684</v>
      </c>
      <c r="AN99" t="s">
        <v>685</v>
      </c>
      <c r="AO99" t="s">
        <v>686</v>
      </c>
      <c r="AP99" t="s">
        <v>687</v>
      </c>
    </row>
    <row r="100" spans="33:42">
      <c r="AG100" t="str">
        <f t="shared" ref="AG100" si="6">VLOOKUP(AH100,AH100:AR176,$AE$1,FALSE)</f>
        <v>Paneel-Typ</v>
      </c>
      <c r="AH100" t="s">
        <v>688</v>
      </c>
      <c r="AI100" t="s">
        <v>689</v>
      </c>
      <c r="AJ100" s="57" t="s">
        <v>690</v>
      </c>
      <c r="AK100" t="s">
        <v>691</v>
      </c>
      <c r="AL100" t="s">
        <v>692</v>
      </c>
      <c r="AM100" s="74" t="s">
        <v>693</v>
      </c>
      <c r="AN100" t="s">
        <v>694</v>
      </c>
      <c r="AO100" t="s">
        <v>695</v>
      </c>
      <c r="AP100" t="s">
        <v>696</v>
      </c>
    </row>
    <row r="101" spans="33:42">
      <c r="AG101" t="str">
        <f t="shared" ref="AG101:AG104" si="7">VLOOKUP(AH101,AH101:AR192,$AE$1,FALSE)</f>
        <v>40 mm</v>
      </c>
      <c r="AH101" t="s">
        <v>697</v>
      </c>
      <c r="AI101" t="s">
        <v>698</v>
      </c>
      <c r="AJ101" t="s">
        <v>698</v>
      </c>
      <c r="AK101" t="s">
        <v>699</v>
      </c>
      <c r="AL101" t="s">
        <v>700</v>
      </c>
      <c r="AM101" t="s">
        <v>698</v>
      </c>
      <c r="AN101" t="s">
        <v>698</v>
      </c>
      <c r="AO101" t="s">
        <v>697</v>
      </c>
      <c r="AP101" t="s">
        <v>701</v>
      </c>
    </row>
    <row r="102" spans="33:42">
      <c r="AG102" t="str">
        <f t="shared" si="7"/>
        <v>80 mm</v>
      </c>
      <c r="AH102" t="s">
        <v>702</v>
      </c>
      <c r="AI102" t="s">
        <v>703</v>
      </c>
      <c r="AJ102" t="s">
        <v>703</v>
      </c>
      <c r="AK102" t="s">
        <v>704</v>
      </c>
      <c r="AL102" t="s">
        <v>705</v>
      </c>
      <c r="AM102" t="s">
        <v>703</v>
      </c>
      <c r="AN102" t="s">
        <v>703</v>
      </c>
      <c r="AO102" t="s">
        <v>702</v>
      </c>
      <c r="AP102" t="s">
        <v>706</v>
      </c>
    </row>
    <row r="103" spans="33:42">
      <c r="AG103" t="str">
        <f t="shared" si="7"/>
        <v>Linke Seite</v>
      </c>
      <c r="AH103" t="s">
        <v>707</v>
      </c>
      <c r="AI103" t="s">
        <v>708</v>
      </c>
      <c r="AJ103" t="s">
        <v>709</v>
      </c>
      <c r="AK103" t="s">
        <v>710</v>
      </c>
      <c r="AL103" s="73" t="s">
        <v>711</v>
      </c>
      <c r="AM103" t="s">
        <v>712</v>
      </c>
      <c r="AN103" t="s">
        <v>713</v>
      </c>
      <c r="AO103" t="s">
        <v>714</v>
      </c>
      <c r="AP103" t="s">
        <v>715</v>
      </c>
    </row>
    <row r="104" spans="33:42">
      <c r="AG104" t="str">
        <f t="shared" si="7"/>
        <v>Rechte Seite</v>
      </c>
      <c r="AH104" t="s">
        <v>716</v>
      </c>
      <c r="AI104" t="s">
        <v>717</v>
      </c>
      <c r="AJ104" t="s">
        <v>718</v>
      </c>
      <c r="AK104" t="s">
        <v>719</v>
      </c>
      <c r="AL104" t="s">
        <v>720</v>
      </c>
      <c r="AM104" t="s">
        <v>721</v>
      </c>
      <c r="AN104" t="s">
        <v>722</v>
      </c>
      <c r="AO104" t="s">
        <v>723</v>
      </c>
    </row>
    <row r="105" spans="33:42">
      <c r="AG105" t="str">
        <f>VLOOKUP(AH105,AH105:AR200,$AE$1,FALSE)</f>
        <v>Angebot/Bestellung:</v>
      </c>
      <c r="AH105" t="s">
        <v>724</v>
      </c>
      <c r="AI105" t="s">
        <v>725</v>
      </c>
      <c r="AJ105" t="s">
        <v>726</v>
      </c>
      <c r="AK105" t="s">
        <v>727</v>
      </c>
      <c r="AL105" t="s">
        <v>728</v>
      </c>
      <c r="AM105" t="s">
        <v>729</v>
      </c>
      <c r="AN105" t="s">
        <v>730</v>
      </c>
      <c r="AO105" t="s">
        <v>731</v>
      </c>
      <c r="AP105" t="s">
        <v>732</v>
      </c>
    </row>
    <row r="106" spans="33:42">
      <c r="AG106" t="str">
        <f>VLOOKUP(AH106,AH106:AR201,$AE$1,FALSE)</f>
        <v>Position:</v>
      </c>
      <c r="AH106" t="s">
        <v>733</v>
      </c>
      <c r="AI106" t="s">
        <v>734</v>
      </c>
      <c r="AJ106" t="s">
        <v>734</v>
      </c>
      <c r="AK106" t="s">
        <v>735</v>
      </c>
      <c r="AL106" t="s">
        <v>736</v>
      </c>
      <c r="AM106" t="s">
        <v>737</v>
      </c>
      <c r="AN106" t="s">
        <v>738</v>
      </c>
      <c r="AO106" t="s">
        <v>739</v>
      </c>
      <c r="AP106" t="s">
        <v>740</v>
      </c>
    </row>
    <row r="107" spans="33:42">
      <c r="AG107" t="str">
        <f>VLOOKUP(AH107,AH107:AR202,$AE$1,FALSE)</f>
        <v>Für Seilbruchsicher mit orangefarbenem Deckel Seitenabstand (L und R) min. 145mm</v>
      </c>
      <c r="AH107" t="s">
        <v>741</v>
      </c>
      <c r="AI107" t="s">
        <v>742</v>
      </c>
      <c r="AJ107" t="s">
        <v>743</v>
      </c>
      <c r="AK107" t="s">
        <v>744</v>
      </c>
      <c r="AL107" t="s">
        <v>745</v>
      </c>
      <c r="AM107" s="73" t="s">
        <v>746</v>
      </c>
      <c r="AN107" t="s">
        <v>747</v>
      </c>
      <c r="AO107" t="s">
        <v>748</v>
      </c>
      <c r="AP107" t="s">
        <v>749</v>
      </c>
    </row>
    <row r="108" spans="33:42">
      <c r="AG108" t="str">
        <f t="shared" ref="AG108:AG109" si="8">VLOOKUP(AH108,AH108:AR203,$AE$1,FALSE)</f>
        <v xml:space="preserve">Antriebseite </v>
      </c>
      <c r="AH108" t="s">
        <v>750</v>
      </c>
      <c r="AI108" t="s">
        <v>751</v>
      </c>
      <c r="AJ108" t="s">
        <v>752</v>
      </c>
      <c r="AK108" t="s">
        <v>753</v>
      </c>
      <c r="AL108" t="s">
        <v>754</v>
      </c>
      <c r="AM108" t="s">
        <v>755</v>
      </c>
      <c r="AN108" t="s">
        <v>756</v>
      </c>
      <c r="AO108" t="s">
        <v>757</v>
      </c>
      <c r="AP108" t="s">
        <v>758</v>
      </c>
    </row>
    <row r="109" spans="33:42">
      <c r="AG109" t="str">
        <f t="shared" si="8"/>
        <v xml:space="preserve">Andere Seite </v>
      </c>
      <c r="AH109" t="s">
        <v>759</v>
      </c>
      <c r="AI109" t="s">
        <v>760</v>
      </c>
      <c r="AJ109" t="s">
        <v>761</v>
      </c>
      <c r="AK109" t="s">
        <v>762</v>
      </c>
      <c r="AL109" t="s">
        <v>763</v>
      </c>
      <c r="AM109" t="s">
        <v>764</v>
      </c>
      <c r="AN109" t="s">
        <v>765</v>
      </c>
      <c r="AO109" t="s">
        <v>766</v>
      </c>
      <c r="AP109" t="s">
        <v>767</v>
      </c>
    </row>
    <row r="339" spans="34:53"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</row>
    <row r="356" spans="34:53"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</row>
  </sheetData>
  <sheetProtection algorithmName="SHA-512" hashValue="AHOgy2yz2SsAClenNgCCcjj8NYzwoux/ISkfGN27TbYZ1ab1MLvv4+SXjzGs6ztJU2DTxmMpiI+FqVPaV1sLVw==" saltValue="JcC5stLH4OA0MJ64wHEtEQ==" spinCount="100000" sheet="1" selectLockedCells="1"/>
  <mergeCells count="42">
    <mergeCell ref="U2:AB3"/>
    <mergeCell ref="X4:AB4"/>
    <mergeCell ref="X5:AB5"/>
    <mergeCell ref="X6:AB6"/>
    <mergeCell ref="J7:L7"/>
    <mergeCell ref="Q7:R7"/>
    <mergeCell ref="X7:AB7"/>
    <mergeCell ref="E9:F9"/>
    <mergeCell ref="Q9:R9"/>
    <mergeCell ref="Q10:R10"/>
    <mergeCell ref="C12:C21"/>
    <mergeCell ref="S13:S16"/>
    <mergeCell ref="S17:S19"/>
    <mergeCell ref="T18:T21"/>
    <mergeCell ref="I20:Q21"/>
    <mergeCell ref="C22:C23"/>
    <mergeCell ref="C24:C28"/>
    <mergeCell ref="S26:S27"/>
    <mergeCell ref="I27:P28"/>
    <mergeCell ref="R57:S57"/>
    <mergeCell ref="T57:U57"/>
    <mergeCell ref="V57:W57"/>
    <mergeCell ref="X57:Y57"/>
    <mergeCell ref="X31:AB32"/>
    <mergeCell ref="X36:Z37"/>
    <mergeCell ref="X39:Z40"/>
    <mergeCell ref="X43:AB44"/>
    <mergeCell ref="R47:AB48"/>
    <mergeCell ref="R50:AB51"/>
    <mergeCell ref="M56:P56"/>
    <mergeCell ref="R56:S56"/>
    <mergeCell ref="T56:U56"/>
    <mergeCell ref="V56:W56"/>
    <mergeCell ref="X56:Y56"/>
    <mergeCell ref="V63:Y63"/>
    <mergeCell ref="AA63:AB63"/>
    <mergeCell ref="R58:U59"/>
    <mergeCell ref="V58:AB59"/>
    <mergeCell ref="N59:P59"/>
    <mergeCell ref="V60:AB61"/>
    <mergeCell ref="V62:Y62"/>
    <mergeCell ref="AA62:AB62"/>
  </mergeCells>
  <conditionalFormatting sqref="J3 J5">
    <cfRule type="cellIs" dxfId="2" priority="2" stopIfTrue="1" operator="equal">
      <formula>0</formula>
    </cfRule>
  </conditionalFormatting>
  <conditionalFormatting sqref="J9">
    <cfRule type="cellIs" dxfId="1" priority="1" stopIfTrue="1" operator="equal">
      <formula>0</formula>
    </cfRule>
  </conditionalFormatting>
  <conditionalFormatting sqref="Q7:R7">
    <cfRule type="expression" dxfId="0" priority="3" stopIfTrue="1">
      <formula>AND(OR(J7="",J7=AG93))</formula>
    </cfRule>
  </conditionalFormatting>
  <dataValidations count="5">
    <dataValidation type="list" allowBlank="1" showInputMessage="1" showErrorMessage="1" error="W*H &gt; 25m2" sqref="J9" xr:uid="{53911810-F1CB-449B-A7E4-7584692285EE}">
      <formula1>$AG$101:$AG$102</formula1>
    </dataValidation>
    <dataValidation type="list" allowBlank="1" showInputMessage="1" showErrorMessage="1" sqref="J7:L7" xr:uid="{5D9875AD-1B37-4ACD-B29C-23D4AB5CFBF2}">
      <formula1>$AU$1:$AU$5</formula1>
    </dataValidation>
    <dataValidation type="list" allowBlank="1" showInputMessage="1" showErrorMessage="1" sqref="E5" xr:uid="{5D046FAA-AD3C-4E19-933E-EEDA015A2B80}">
      <formula1>$AD$3:$AD$11</formula1>
    </dataValidation>
    <dataValidation type="custom" allowBlank="1" showInputMessage="1" showErrorMessage="1" error="W*H &gt; 25m2" sqref="J5" xr:uid="{C8A8A1A7-608D-4729-8820-04BE919493DD}">
      <formula1>IF(OR(J5&gt;5500,J3/1000*J5/1000&gt;25),FALSE,TRUE)</formula1>
    </dataValidation>
    <dataValidation type="custom" allowBlank="1" showInputMessage="1" showErrorMessage="1" error="W*H &gt; 25m2" sqref="J3" xr:uid="{93D946E6-768F-43FE-9065-817BB868DAE9}">
      <formula1>IF(OR(J3&gt;5000,J3/1000*J5/1000&gt;25),FALSE,TRUE)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C1E3-3607-4623-B0D2-97F098FEE049}">
  <sheetPr codeName="List3"/>
  <dimension ref="A1:I49"/>
  <sheetViews>
    <sheetView showGridLines="0" view="pageBreakPreview" topLeftCell="A22" zoomScaleNormal="100" zoomScaleSheetLayoutView="100" workbookViewId="0">
      <selection activeCell="E44" sqref="E44:G45"/>
    </sheetView>
  </sheetViews>
  <sheetFormatPr baseColWidth="10" defaultColWidth="9.140625" defaultRowHeight="15"/>
  <sheetData>
    <row r="1" spans="1:9">
      <c r="A1" s="6"/>
      <c r="B1" s="7"/>
      <c r="C1" s="7"/>
      <c r="D1" s="7"/>
      <c r="E1" s="7"/>
      <c r="F1" s="7"/>
      <c r="G1" s="7"/>
      <c r="H1" s="7"/>
      <c r="I1" s="75"/>
    </row>
    <row r="2" spans="1:9">
      <c r="A2" s="30"/>
      <c r="B2" s="76"/>
      <c r="C2" s="76"/>
      <c r="D2" s="76"/>
      <c r="E2" s="76"/>
      <c r="F2" s="76"/>
      <c r="G2" s="76"/>
      <c r="H2" s="76"/>
      <c r="I2" s="77"/>
    </row>
    <row r="3" spans="1:9">
      <c r="A3" s="30"/>
      <c r="B3" s="76"/>
      <c r="C3" s="45"/>
      <c r="D3" s="76"/>
      <c r="E3" s="76"/>
      <c r="F3" s="76"/>
      <c r="G3" s="76"/>
      <c r="H3" s="76"/>
      <c r="I3" s="77"/>
    </row>
    <row r="4" spans="1:9">
      <c r="A4" s="30"/>
      <c r="B4" s="26"/>
      <c r="C4" s="76"/>
      <c r="D4" s="76"/>
      <c r="E4" s="76"/>
      <c r="F4" s="76"/>
      <c r="G4" s="76"/>
      <c r="H4" s="76"/>
      <c r="I4" s="77"/>
    </row>
    <row r="5" spans="1:9">
      <c r="A5" s="30"/>
      <c r="B5" s="76"/>
      <c r="C5" s="76"/>
      <c r="D5" s="76"/>
      <c r="E5" s="76"/>
      <c r="F5" s="76"/>
      <c r="G5" s="76"/>
      <c r="H5" s="76"/>
      <c r="I5" s="77"/>
    </row>
    <row r="6" spans="1:9">
      <c r="A6" s="78" t="s">
        <v>768</v>
      </c>
      <c r="B6" s="76"/>
      <c r="C6" s="164"/>
      <c r="D6" s="76"/>
      <c r="E6" s="76"/>
      <c r="F6" s="76"/>
      <c r="G6" s="76"/>
      <c r="H6" s="76"/>
      <c r="I6" s="77"/>
    </row>
    <row r="7" spans="1:9">
      <c r="A7" s="78"/>
      <c r="B7" s="143"/>
      <c r="C7" s="164"/>
      <c r="D7" s="76"/>
      <c r="E7" s="76"/>
      <c r="F7" s="76"/>
      <c r="G7" s="76"/>
      <c r="H7" s="76"/>
      <c r="I7" s="77"/>
    </row>
    <row r="8" spans="1:9">
      <c r="A8" s="78"/>
      <c r="B8" s="143"/>
      <c r="C8" s="164"/>
      <c r="D8" s="76"/>
      <c r="E8" s="76"/>
      <c r="F8" s="76"/>
      <c r="G8" s="76"/>
      <c r="H8" s="76"/>
      <c r="I8" s="77"/>
    </row>
    <row r="9" spans="1:9">
      <c r="A9" s="78"/>
      <c r="B9" s="143"/>
      <c r="C9" s="164"/>
      <c r="D9" s="76"/>
      <c r="E9" s="76"/>
      <c r="F9" s="76"/>
      <c r="G9" s="76"/>
      <c r="H9" s="76"/>
      <c r="I9" s="77"/>
    </row>
    <row r="10" spans="1:9">
      <c r="A10" s="30"/>
      <c r="B10" s="143"/>
      <c r="C10" s="164"/>
      <c r="D10" s="76"/>
      <c r="E10" s="76"/>
      <c r="F10" s="76"/>
      <c r="G10" s="76"/>
      <c r="H10" s="76"/>
      <c r="I10" s="77"/>
    </row>
    <row r="11" spans="1:9">
      <c r="A11" s="30"/>
      <c r="B11" s="76"/>
      <c r="C11" s="164"/>
      <c r="D11" s="76"/>
      <c r="E11" s="76"/>
      <c r="F11" s="76"/>
      <c r="G11" s="76"/>
      <c r="H11" s="76"/>
      <c r="I11" s="77"/>
    </row>
    <row r="12" spans="1:9">
      <c r="A12" s="30"/>
      <c r="B12" s="76"/>
      <c r="C12" s="164"/>
      <c r="D12" s="76"/>
      <c r="E12" s="76"/>
      <c r="F12" s="76"/>
      <c r="G12" s="76"/>
      <c r="H12" s="76"/>
      <c r="I12" s="77"/>
    </row>
    <row r="13" spans="1:9">
      <c r="A13" s="30"/>
      <c r="B13" s="76"/>
      <c r="C13" s="164"/>
      <c r="D13" s="76"/>
      <c r="E13" s="76"/>
      <c r="F13" s="76"/>
      <c r="G13" s="76"/>
      <c r="H13" s="76"/>
      <c r="I13" s="77"/>
    </row>
    <row r="14" spans="1:9">
      <c r="A14" s="30"/>
      <c r="B14" s="76"/>
      <c r="C14" s="164"/>
      <c r="D14" s="76"/>
      <c r="E14" s="76"/>
      <c r="F14" s="76"/>
      <c r="G14" s="76"/>
      <c r="H14" s="76"/>
      <c r="I14" s="77"/>
    </row>
    <row r="15" spans="1:9">
      <c r="A15" s="79"/>
      <c r="B15" s="76"/>
      <c r="C15" s="80"/>
      <c r="D15" s="76"/>
      <c r="E15" s="76"/>
      <c r="F15" s="76"/>
      <c r="G15" s="76"/>
      <c r="H15" s="76"/>
      <c r="I15" s="77"/>
    </row>
    <row r="16" spans="1:9">
      <c r="A16" s="79"/>
      <c r="B16" s="76"/>
      <c r="C16" s="76"/>
      <c r="D16" s="76"/>
      <c r="E16" s="76"/>
      <c r="F16" s="76"/>
      <c r="G16" s="76"/>
      <c r="H16" s="76"/>
      <c r="I16" s="77"/>
    </row>
    <row r="17" spans="1:9">
      <c r="A17" s="79"/>
      <c r="B17" s="76"/>
      <c r="C17" s="76"/>
      <c r="D17" s="76"/>
      <c r="E17" s="76"/>
      <c r="F17" s="76"/>
      <c r="G17" s="76"/>
      <c r="H17" s="76"/>
      <c r="I17" s="77"/>
    </row>
    <row r="18" spans="1:9">
      <c r="A18" s="79"/>
      <c r="B18" s="143"/>
      <c r="C18" s="76"/>
      <c r="D18" s="76"/>
      <c r="E18" s="76"/>
      <c r="F18" s="76"/>
      <c r="G18" s="76"/>
      <c r="H18" s="76"/>
      <c r="I18" s="77"/>
    </row>
    <row r="19" spans="1:9">
      <c r="A19" s="30"/>
      <c r="B19" s="143"/>
      <c r="C19" s="76"/>
      <c r="D19" s="76"/>
      <c r="E19" s="76"/>
      <c r="F19" s="76"/>
      <c r="G19" s="76"/>
      <c r="H19" s="76"/>
      <c r="I19" s="77"/>
    </row>
    <row r="20" spans="1:9">
      <c r="A20" s="30"/>
      <c r="B20" s="143"/>
      <c r="C20" s="76"/>
      <c r="D20" s="76"/>
      <c r="E20" s="76"/>
      <c r="F20" s="76"/>
      <c r="G20" s="76"/>
      <c r="H20" s="76"/>
      <c r="I20" s="77"/>
    </row>
    <row r="21" spans="1:9">
      <c r="A21" s="30"/>
      <c r="B21" s="143"/>
      <c r="C21" s="76"/>
      <c r="D21" s="76"/>
      <c r="E21" s="76"/>
      <c r="F21" s="76"/>
      <c r="G21" s="76"/>
      <c r="H21" s="76"/>
      <c r="I21" s="77"/>
    </row>
    <row r="22" spans="1:9">
      <c r="A22" s="30"/>
      <c r="B22" s="76"/>
      <c r="C22" s="76"/>
      <c r="D22" s="76"/>
      <c r="E22" s="76"/>
      <c r="F22" s="76"/>
      <c r="G22" s="76"/>
      <c r="H22" s="76"/>
      <c r="I22" s="77"/>
    </row>
    <row r="23" spans="1:9">
      <c r="A23" s="30"/>
      <c r="B23" s="76"/>
      <c r="C23" s="76"/>
      <c r="D23" s="76"/>
      <c r="E23" s="76"/>
      <c r="F23" s="76"/>
      <c r="G23" s="76"/>
      <c r="H23" s="76"/>
      <c r="I23" s="77"/>
    </row>
    <row r="24" spans="1:9">
      <c r="A24" s="30"/>
      <c r="B24" s="76"/>
      <c r="C24" s="76"/>
      <c r="D24" s="76"/>
      <c r="E24" s="76"/>
      <c r="F24" s="76"/>
      <c r="G24" s="76"/>
      <c r="H24" s="76"/>
      <c r="I24" s="77"/>
    </row>
    <row r="25" spans="1:9">
      <c r="A25" s="30"/>
      <c r="B25" s="76"/>
      <c r="C25" s="76"/>
      <c r="D25" s="76"/>
      <c r="E25" s="76"/>
      <c r="F25" s="76"/>
      <c r="G25" s="76"/>
      <c r="H25" s="76"/>
      <c r="I25" s="77"/>
    </row>
    <row r="26" spans="1:9">
      <c r="A26" s="30"/>
      <c r="B26" s="76"/>
      <c r="C26" s="76"/>
      <c r="D26" s="76"/>
      <c r="E26" s="76"/>
      <c r="F26" s="76"/>
      <c r="G26" s="76"/>
      <c r="H26" s="76"/>
      <c r="I26" s="77"/>
    </row>
    <row r="27" spans="1:9">
      <c r="A27" s="30"/>
      <c r="B27" s="76"/>
      <c r="C27" s="76"/>
      <c r="D27" s="45"/>
      <c r="E27" s="76"/>
      <c r="F27" s="76"/>
      <c r="G27" s="45"/>
      <c r="H27" s="76"/>
      <c r="I27" s="77"/>
    </row>
    <row r="28" spans="1:9">
      <c r="A28" s="30"/>
      <c r="B28" s="76"/>
      <c r="C28" s="76"/>
      <c r="D28" s="76"/>
      <c r="E28" s="76"/>
      <c r="F28" s="45"/>
      <c r="G28" s="76"/>
      <c r="H28" s="76"/>
      <c r="I28" s="77"/>
    </row>
    <row r="29" spans="1:9">
      <c r="A29" s="30"/>
      <c r="B29" s="76"/>
      <c r="C29" s="76"/>
      <c r="D29" s="76"/>
      <c r="E29" s="76"/>
      <c r="F29" s="45"/>
      <c r="G29" s="76"/>
      <c r="H29" s="76"/>
      <c r="I29" s="77"/>
    </row>
    <row r="30" spans="1:9">
      <c r="A30" s="30"/>
      <c r="B30" s="76"/>
      <c r="C30" s="76"/>
      <c r="D30" s="76"/>
      <c r="E30" s="76"/>
      <c r="F30" s="76"/>
      <c r="G30" s="76"/>
      <c r="H30" s="76"/>
      <c r="I30" s="77"/>
    </row>
    <row r="31" spans="1:9">
      <c r="A31" s="30"/>
      <c r="I31" s="11"/>
    </row>
    <row r="32" spans="1:9">
      <c r="A32" s="30"/>
      <c r="I32" s="11"/>
    </row>
    <row r="33" spans="1:9">
      <c r="A33" s="30"/>
      <c r="I33" s="11"/>
    </row>
    <row r="34" spans="1:9">
      <c r="A34" s="30"/>
      <c r="I34" s="11"/>
    </row>
    <row r="35" spans="1:9">
      <c r="A35" s="30"/>
      <c r="I35" s="11"/>
    </row>
    <row r="36" spans="1:9">
      <c r="A36" s="30"/>
      <c r="I36" s="11"/>
    </row>
    <row r="37" spans="1:9">
      <c r="A37" s="30"/>
      <c r="I37" s="11"/>
    </row>
    <row r="38" spans="1:9">
      <c r="A38" s="30"/>
      <c r="I38" s="11"/>
    </row>
    <row r="39" spans="1:9" ht="15.75" thickBot="1">
      <c r="A39" s="30"/>
      <c r="I39" s="11"/>
    </row>
    <row r="40" spans="1:9">
      <c r="A40" s="30"/>
      <c r="C40" s="165" t="str">
        <f>general!U2</f>
        <v>VERTIKALFÜHRUNG MIT VORMONTIERTER WELLE (VL-T)</v>
      </c>
      <c r="D40" s="166"/>
      <c r="E40" s="166"/>
      <c r="F40" s="166"/>
      <c r="G40" s="166"/>
      <c r="H40" s="166"/>
      <c r="I40" s="167"/>
    </row>
    <row r="41" spans="1:9" ht="15.75" thickBot="1">
      <c r="A41" s="30"/>
      <c r="C41" s="168"/>
      <c r="D41" s="169"/>
      <c r="E41" s="169"/>
      <c r="F41" s="169"/>
      <c r="G41" s="169"/>
      <c r="H41" s="169"/>
      <c r="I41" s="170"/>
    </row>
    <row r="42" spans="1:9" ht="15.75" thickBot="1">
      <c r="A42" s="30"/>
      <c r="C42" s="159" t="str">
        <f>general!$AG$97</f>
        <v>Antriebesposition</v>
      </c>
      <c r="D42" s="160"/>
      <c r="E42" s="165" t="str">
        <f>general!AG98</f>
        <v>Antrieb - links</v>
      </c>
      <c r="F42" s="166"/>
      <c r="G42" s="167"/>
      <c r="H42" s="171"/>
      <c r="I42" s="171"/>
    </row>
    <row r="43" spans="1:9" ht="15.75" thickBot="1">
      <c r="A43" s="30"/>
      <c r="C43" s="161"/>
      <c r="D43" s="162"/>
      <c r="E43" s="168"/>
      <c r="F43" s="169"/>
      <c r="G43" s="170"/>
      <c r="H43" s="171"/>
      <c r="I43" s="171"/>
    </row>
    <row r="44" spans="1:9" ht="15.75" thickBot="1">
      <c r="A44" s="30"/>
      <c r="C44" s="159" t="str">
        <f>general!R56</f>
        <v>Aufgestellt:</v>
      </c>
      <c r="D44" s="160"/>
      <c r="E44" s="158"/>
      <c r="F44" s="158"/>
      <c r="G44" s="158"/>
      <c r="H44" s="171"/>
      <c r="I44" s="171"/>
    </row>
    <row r="45" spans="1:9" ht="15.75" thickBot="1">
      <c r="A45" s="30"/>
      <c r="C45" s="161"/>
      <c r="D45" s="162"/>
      <c r="E45" s="158"/>
      <c r="F45" s="158"/>
      <c r="G45" s="158"/>
      <c r="H45" s="171"/>
      <c r="I45" s="171"/>
    </row>
    <row r="46" spans="1:9" ht="15.75" thickBot="1">
      <c r="A46" s="30"/>
      <c r="C46" s="159" t="str">
        <f>general!T56</f>
        <v>Bereinigt:</v>
      </c>
      <c r="D46" s="160"/>
      <c r="E46" s="158"/>
      <c r="F46" s="158"/>
      <c r="G46" s="158"/>
      <c r="H46" s="171"/>
      <c r="I46" s="171"/>
    </row>
    <row r="47" spans="1:9" ht="15.75" thickBot="1">
      <c r="A47" s="30"/>
      <c r="C47" s="161"/>
      <c r="D47" s="162"/>
      <c r="E47" s="158"/>
      <c r="F47" s="158"/>
      <c r="G47" s="158"/>
      <c r="H47" s="171"/>
      <c r="I47" s="171"/>
    </row>
    <row r="48" spans="1:9" ht="15.75" thickBot="1">
      <c r="A48" s="30"/>
      <c r="C48" s="159" t="str">
        <f>general!Z56</f>
        <v>Datum:</v>
      </c>
      <c r="D48" s="160"/>
      <c r="E48" s="163"/>
      <c r="F48" s="163"/>
      <c r="G48" s="163"/>
      <c r="H48" s="171"/>
      <c r="I48" s="171"/>
    </row>
    <row r="49" spans="1:9" ht="15.75" thickBot="1">
      <c r="A49" s="67"/>
      <c r="B49" s="1"/>
      <c r="C49" s="161"/>
      <c r="D49" s="162"/>
      <c r="E49" s="163"/>
      <c r="F49" s="163"/>
      <c r="G49" s="163"/>
      <c r="H49" s="171"/>
      <c r="I49" s="171"/>
    </row>
  </sheetData>
  <sheetProtection algorithmName="SHA-512" hashValue="gJdzB0EJy/SLm+9garPDdt6RRLGv04fYrT9SgRilpjBsBspd5LiecVkFMwq2f9ILwmp0aZODPbGV8wrfNBMUzw==" saltValue="U6Yr0CEx4igo9PoVEZYAcA==" spinCount="100000" sheet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4FBD-D215-4CB2-A74E-CBE0D63E59BF}">
  <sheetPr codeName="List2"/>
  <dimension ref="A1:I49"/>
  <sheetViews>
    <sheetView showGridLines="0" view="pageBreakPreview" topLeftCell="A15" zoomScaleNormal="100" zoomScaleSheetLayoutView="100" workbookViewId="0">
      <selection activeCell="H42" sqref="H42:I49"/>
    </sheetView>
  </sheetViews>
  <sheetFormatPr baseColWidth="10" defaultColWidth="9.140625" defaultRowHeight="15"/>
  <sheetData>
    <row r="1" spans="1:9">
      <c r="A1" s="6"/>
      <c r="B1" s="7"/>
      <c r="C1" s="7"/>
      <c r="D1" s="7"/>
      <c r="E1" s="7"/>
      <c r="F1" s="7"/>
      <c r="G1" s="7"/>
      <c r="H1" s="7"/>
      <c r="I1" s="75"/>
    </row>
    <row r="2" spans="1:9">
      <c r="A2" s="30"/>
      <c r="I2" s="11"/>
    </row>
    <row r="3" spans="1:9">
      <c r="A3" s="30"/>
      <c r="C3" s="81"/>
      <c r="I3" s="11"/>
    </row>
    <row r="4" spans="1:9">
      <c r="A4" s="30"/>
      <c r="B4" s="44"/>
      <c r="I4" s="11"/>
    </row>
    <row r="5" spans="1:9">
      <c r="A5" s="30"/>
      <c r="I5" s="11"/>
    </row>
    <row r="6" spans="1:9">
      <c r="A6" s="78" t="s">
        <v>768</v>
      </c>
      <c r="C6" s="164"/>
      <c r="I6" s="11"/>
    </row>
    <row r="7" spans="1:9">
      <c r="A7" s="78"/>
      <c r="B7" s="143"/>
      <c r="C7" s="164"/>
      <c r="I7" s="11"/>
    </row>
    <row r="8" spans="1:9">
      <c r="A8" s="78"/>
      <c r="B8" s="143"/>
      <c r="C8" s="164"/>
      <c r="I8" s="11"/>
    </row>
    <row r="9" spans="1:9">
      <c r="A9" s="78"/>
      <c r="B9" s="143"/>
      <c r="C9" s="164"/>
      <c r="I9" s="11"/>
    </row>
    <row r="10" spans="1:9">
      <c r="A10" s="30"/>
      <c r="B10" s="143"/>
      <c r="C10" s="164"/>
      <c r="I10" s="11"/>
    </row>
    <row r="11" spans="1:9">
      <c r="A11" s="30"/>
      <c r="C11" s="164"/>
      <c r="I11" s="11"/>
    </row>
    <row r="12" spans="1:9">
      <c r="A12" s="30"/>
      <c r="C12" s="164"/>
      <c r="I12" s="11"/>
    </row>
    <row r="13" spans="1:9">
      <c r="A13" s="30"/>
      <c r="C13" s="164"/>
      <c r="I13" s="11"/>
    </row>
    <row r="14" spans="1:9">
      <c r="A14" s="30"/>
      <c r="C14" s="164"/>
      <c r="I14" s="11"/>
    </row>
    <row r="15" spans="1:9">
      <c r="A15" s="79"/>
      <c r="C15" s="82"/>
      <c r="I15" s="11"/>
    </row>
    <row r="16" spans="1:9">
      <c r="A16" s="79"/>
      <c r="I16" s="11"/>
    </row>
    <row r="17" spans="1:9">
      <c r="A17" s="79"/>
      <c r="I17" s="11"/>
    </row>
    <row r="18" spans="1:9">
      <c r="A18" s="79"/>
      <c r="B18" s="143"/>
      <c r="I18" s="11"/>
    </row>
    <row r="19" spans="1:9">
      <c r="A19" s="30"/>
      <c r="B19" s="143"/>
      <c r="I19" s="11"/>
    </row>
    <row r="20" spans="1:9">
      <c r="A20" s="30"/>
      <c r="B20" s="143"/>
      <c r="I20" s="11"/>
    </row>
    <row r="21" spans="1:9">
      <c r="A21" s="30"/>
      <c r="B21" s="143"/>
      <c r="I21" s="11"/>
    </row>
    <row r="22" spans="1:9">
      <c r="A22" s="30"/>
      <c r="I22" s="11"/>
    </row>
    <row r="23" spans="1:9">
      <c r="A23" s="30"/>
      <c r="I23" s="11"/>
    </row>
    <row r="24" spans="1:9">
      <c r="A24" s="30"/>
      <c r="I24" s="11"/>
    </row>
    <row r="25" spans="1:9">
      <c r="A25" s="30"/>
      <c r="I25" s="11"/>
    </row>
    <row r="26" spans="1:9">
      <c r="A26" s="30"/>
      <c r="I26" s="11"/>
    </row>
    <row r="27" spans="1:9">
      <c r="A27" s="30"/>
      <c r="D27" s="81"/>
      <c r="G27" s="81"/>
      <c r="I27" s="11"/>
    </row>
    <row r="28" spans="1:9">
      <c r="A28" s="30"/>
      <c r="F28" s="81"/>
      <c r="I28" s="11"/>
    </row>
    <row r="29" spans="1:9">
      <c r="A29" s="30"/>
      <c r="E29" s="76"/>
      <c r="F29" s="45"/>
      <c r="I29" s="11"/>
    </row>
    <row r="30" spans="1:9">
      <c r="A30" s="30"/>
      <c r="I30" s="11"/>
    </row>
    <row r="31" spans="1:9">
      <c r="A31" s="30"/>
      <c r="I31" s="11"/>
    </row>
    <row r="32" spans="1:9">
      <c r="A32" s="30"/>
      <c r="I32" s="11"/>
    </row>
    <row r="33" spans="1:9">
      <c r="A33" s="30"/>
      <c r="I33" s="11"/>
    </row>
    <row r="34" spans="1:9">
      <c r="A34" s="30"/>
      <c r="I34" s="11"/>
    </row>
    <row r="35" spans="1:9">
      <c r="A35" s="30"/>
      <c r="I35" s="11"/>
    </row>
    <row r="36" spans="1:9">
      <c r="A36" s="30"/>
      <c r="I36" s="11"/>
    </row>
    <row r="37" spans="1:9">
      <c r="A37" s="30"/>
      <c r="I37" s="11"/>
    </row>
    <row r="38" spans="1:9">
      <c r="A38" s="30"/>
      <c r="I38" s="11"/>
    </row>
    <row r="39" spans="1:9" ht="15.75" thickBot="1">
      <c r="A39" s="30"/>
      <c r="I39" s="11"/>
    </row>
    <row r="40" spans="1:9">
      <c r="A40" s="30"/>
      <c r="C40" s="165" t="str">
        <f>general!U2</f>
        <v>VERTIKALFÜHRUNG MIT VORMONTIERTER WELLE (VL-T)</v>
      </c>
      <c r="D40" s="166"/>
      <c r="E40" s="166"/>
      <c r="F40" s="166"/>
      <c r="G40" s="166"/>
      <c r="H40" s="166"/>
      <c r="I40" s="167"/>
    </row>
    <row r="41" spans="1:9" ht="15.75" thickBot="1">
      <c r="A41" s="30"/>
      <c r="C41" s="168"/>
      <c r="D41" s="169"/>
      <c r="E41" s="169"/>
      <c r="F41" s="169"/>
      <c r="G41" s="169"/>
      <c r="H41" s="169"/>
      <c r="I41" s="170"/>
    </row>
    <row r="42" spans="1:9" ht="15.75" thickBot="1">
      <c r="A42" s="30"/>
      <c r="C42" s="159" t="str">
        <f>general!$AG$97</f>
        <v>Antriebesposition</v>
      </c>
      <c r="D42" s="160"/>
      <c r="E42" s="165" t="str">
        <f>general!AG99</f>
        <v>Antrieb - rechts</v>
      </c>
      <c r="F42" s="166"/>
      <c r="G42" s="167"/>
      <c r="H42" s="171"/>
      <c r="I42" s="171"/>
    </row>
    <row r="43" spans="1:9" ht="15.75" thickBot="1">
      <c r="A43" s="30"/>
      <c r="C43" s="161"/>
      <c r="D43" s="162"/>
      <c r="E43" s="168"/>
      <c r="F43" s="169"/>
      <c r="G43" s="170"/>
      <c r="H43" s="171"/>
      <c r="I43" s="171"/>
    </row>
    <row r="44" spans="1:9" ht="15.75" thickBot="1">
      <c r="A44" s="30"/>
      <c r="C44" s="159" t="str">
        <f>general!R56</f>
        <v>Aufgestellt:</v>
      </c>
      <c r="D44" s="160"/>
      <c r="E44" s="158"/>
      <c r="F44" s="158"/>
      <c r="G44" s="158"/>
      <c r="H44" s="171"/>
      <c r="I44" s="171"/>
    </row>
    <row r="45" spans="1:9" ht="15.75" thickBot="1">
      <c r="A45" s="30"/>
      <c r="C45" s="161"/>
      <c r="D45" s="162"/>
      <c r="E45" s="158"/>
      <c r="F45" s="158"/>
      <c r="G45" s="158"/>
      <c r="H45" s="171"/>
      <c r="I45" s="171"/>
    </row>
    <row r="46" spans="1:9" ht="15.75" thickBot="1">
      <c r="A46" s="30"/>
      <c r="C46" s="159" t="str">
        <f>general!T56</f>
        <v>Bereinigt:</v>
      </c>
      <c r="D46" s="160"/>
      <c r="E46" s="158"/>
      <c r="F46" s="158"/>
      <c r="G46" s="158"/>
      <c r="H46" s="171"/>
      <c r="I46" s="171"/>
    </row>
    <row r="47" spans="1:9" ht="15.75" thickBot="1">
      <c r="A47" s="30"/>
      <c r="C47" s="161"/>
      <c r="D47" s="162"/>
      <c r="E47" s="158"/>
      <c r="F47" s="158"/>
      <c r="G47" s="158"/>
      <c r="H47" s="171"/>
      <c r="I47" s="171"/>
    </row>
    <row r="48" spans="1:9" ht="15.75" thickBot="1">
      <c r="A48" s="30"/>
      <c r="C48" s="159" t="str">
        <f>general!Z56</f>
        <v>Datum:</v>
      </c>
      <c r="D48" s="160"/>
      <c r="E48" s="163"/>
      <c r="F48" s="163"/>
      <c r="G48" s="163"/>
      <c r="H48" s="171"/>
      <c r="I48" s="171"/>
    </row>
    <row r="49" spans="1:9" ht="15.75" thickBot="1">
      <c r="A49" s="67"/>
      <c r="B49" s="1"/>
      <c r="C49" s="161"/>
      <c r="D49" s="162"/>
      <c r="E49" s="163"/>
      <c r="F49" s="163"/>
      <c r="G49" s="163"/>
      <c r="H49" s="171"/>
      <c r="I49" s="171"/>
    </row>
  </sheetData>
  <sheetProtection algorithmName="SHA-512" hashValue="+/llCmiFWtvo5BZsYJ8cB3jALTXVS48CP6ImSy/SdV2hGApZtS9oy0tkYLEO8kBM8zXar/3qjnmfF9KRGIpbFQ==" saltValue="fQlkhj121BH51p5nuUHm1A==" spinCount="100000" sheet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6F37-EFAB-4595-B5D4-85D34036B9AD}">
  <sheetPr codeName="List5"/>
  <dimension ref="A1:I49"/>
  <sheetViews>
    <sheetView showGridLines="0" view="pageBreakPreview" topLeftCell="A22" zoomScaleNormal="100" zoomScaleSheetLayoutView="100" workbookViewId="0">
      <selection activeCell="E44" sqref="E44:G45"/>
    </sheetView>
  </sheetViews>
  <sheetFormatPr baseColWidth="10" defaultColWidth="9.140625" defaultRowHeight="15"/>
  <sheetData>
    <row r="1" spans="1:9">
      <c r="A1" s="6"/>
      <c r="B1" s="7"/>
      <c r="C1" s="7"/>
      <c r="D1" s="7"/>
      <c r="E1" s="7"/>
      <c r="F1" s="7"/>
      <c r="G1" s="7"/>
      <c r="H1" s="7"/>
      <c r="I1" s="75"/>
    </row>
    <row r="2" spans="1:9">
      <c r="A2" s="30"/>
      <c r="B2" s="76"/>
      <c r="C2" s="76"/>
      <c r="D2" s="76"/>
      <c r="E2" s="76"/>
      <c r="F2" s="76"/>
      <c r="G2" s="76"/>
      <c r="H2" s="76"/>
      <c r="I2" s="77"/>
    </row>
    <row r="3" spans="1:9">
      <c r="A3" s="30"/>
      <c r="B3" s="76"/>
      <c r="C3" s="45"/>
      <c r="D3" s="76"/>
      <c r="E3" s="76"/>
      <c r="F3" s="76"/>
      <c r="G3" s="76"/>
      <c r="H3" s="76"/>
      <c r="I3" s="77"/>
    </row>
    <row r="4" spans="1:9">
      <c r="A4" s="30"/>
      <c r="B4" s="26"/>
      <c r="C4" s="76"/>
      <c r="D4" s="76"/>
      <c r="E4" s="76"/>
      <c r="F4" s="76"/>
      <c r="G4" s="76"/>
      <c r="H4" s="76"/>
      <c r="I4" s="77"/>
    </row>
    <row r="5" spans="1:9">
      <c r="A5" s="30"/>
      <c r="B5" s="76"/>
      <c r="C5" s="76"/>
      <c r="D5" s="76"/>
      <c r="E5" s="76"/>
      <c r="F5" s="76"/>
      <c r="G5" s="76"/>
      <c r="H5" s="76"/>
      <c r="I5" s="77"/>
    </row>
    <row r="6" spans="1:9">
      <c r="A6" s="78" t="s">
        <v>768</v>
      </c>
      <c r="B6" s="76"/>
      <c r="C6" s="164"/>
      <c r="D6" s="76"/>
      <c r="E6" s="76"/>
      <c r="F6" s="76"/>
      <c r="G6" s="76"/>
      <c r="H6" s="76"/>
      <c r="I6" s="77"/>
    </row>
    <row r="7" spans="1:9">
      <c r="A7" s="78"/>
      <c r="B7" s="143"/>
      <c r="C7" s="164"/>
      <c r="D7" s="76"/>
      <c r="E7" s="76"/>
      <c r="F7" s="76"/>
      <c r="G7" s="76"/>
      <c r="H7" s="76"/>
      <c r="I7" s="77"/>
    </row>
    <row r="8" spans="1:9">
      <c r="A8" s="78"/>
      <c r="B8" s="143"/>
      <c r="C8" s="164"/>
      <c r="D8" s="76"/>
      <c r="E8" s="76"/>
      <c r="F8" s="76"/>
      <c r="G8" s="76"/>
      <c r="H8" s="76"/>
      <c r="I8" s="77"/>
    </row>
    <row r="9" spans="1:9">
      <c r="A9" s="78"/>
      <c r="B9" s="143"/>
      <c r="C9" s="164"/>
      <c r="D9" s="76"/>
      <c r="E9" s="76"/>
      <c r="F9" s="76"/>
      <c r="G9" s="76"/>
      <c r="H9" s="76"/>
      <c r="I9" s="77"/>
    </row>
    <row r="10" spans="1:9">
      <c r="A10" s="30"/>
      <c r="B10" s="143"/>
      <c r="C10" s="164"/>
      <c r="D10" s="76"/>
      <c r="E10" s="76"/>
      <c r="F10" s="76"/>
      <c r="G10" s="76"/>
      <c r="H10" s="76"/>
      <c r="I10" s="77"/>
    </row>
    <row r="11" spans="1:9">
      <c r="A11" s="30"/>
      <c r="B11" s="76"/>
      <c r="C11" s="164"/>
      <c r="D11" s="76"/>
      <c r="E11" s="76"/>
      <c r="F11" s="76"/>
      <c r="G11" s="76"/>
      <c r="H11" s="76"/>
      <c r="I11" s="77"/>
    </row>
    <row r="12" spans="1:9">
      <c r="A12" s="30"/>
      <c r="B12" s="76"/>
      <c r="C12" s="164"/>
      <c r="D12" s="76"/>
      <c r="E12" s="76"/>
      <c r="F12" s="76"/>
      <c r="G12" s="76"/>
      <c r="H12" s="76"/>
      <c r="I12" s="77"/>
    </row>
    <row r="13" spans="1:9">
      <c r="A13" s="30"/>
      <c r="B13" s="76"/>
      <c r="C13" s="164"/>
      <c r="D13" s="76"/>
      <c r="E13" s="76"/>
      <c r="F13" s="76"/>
      <c r="G13" s="76"/>
      <c r="H13" s="76"/>
      <c r="I13" s="77"/>
    </row>
    <row r="14" spans="1:9">
      <c r="A14" s="30"/>
      <c r="B14" s="76"/>
      <c r="C14" s="164"/>
      <c r="D14" s="76"/>
      <c r="E14" s="76"/>
      <c r="F14" s="76"/>
      <c r="G14" s="76"/>
      <c r="H14" s="76"/>
      <c r="I14" s="77"/>
    </row>
    <row r="15" spans="1:9">
      <c r="A15" s="79"/>
      <c r="B15" s="76"/>
      <c r="C15" s="80"/>
      <c r="D15" s="76"/>
      <c r="E15" s="76"/>
      <c r="F15" s="76"/>
      <c r="G15" s="76"/>
      <c r="H15" s="76"/>
      <c r="I15" s="77"/>
    </row>
    <row r="16" spans="1:9">
      <c r="A16" s="79"/>
      <c r="B16" s="76"/>
      <c r="C16" s="76"/>
      <c r="D16" s="76"/>
      <c r="E16" s="76"/>
      <c r="F16" s="76"/>
      <c r="G16" s="76"/>
      <c r="H16" s="76"/>
      <c r="I16" s="77"/>
    </row>
    <row r="17" spans="1:9">
      <c r="A17" s="79"/>
      <c r="B17" s="76"/>
      <c r="C17" s="76"/>
      <c r="D17" s="76"/>
      <c r="E17" s="76"/>
      <c r="F17" s="76"/>
      <c r="G17" s="76"/>
      <c r="H17" s="76"/>
      <c r="I17" s="77"/>
    </row>
    <row r="18" spans="1:9">
      <c r="A18" s="79"/>
      <c r="B18" s="143"/>
      <c r="C18" s="76"/>
      <c r="D18" s="76"/>
      <c r="E18" s="76"/>
      <c r="F18" s="76"/>
      <c r="G18" s="76"/>
      <c r="H18" s="76"/>
      <c r="I18" s="77"/>
    </row>
    <row r="19" spans="1:9">
      <c r="A19" s="30"/>
      <c r="B19" s="143"/>
      <c r="C19" s="76"/>
      <c r="D19" s="76"/>
      <c r="E19" s="76"/>
      <c r="F19" s="76"/>
      <c r="G19" s="76"/>
      <c r="H19" s="76"/>
      <c r="I19" s="77"/>
    </row>
    <row r="20" spans="1:9">
      <c r="A20" s="30"/>
      <c r="B20" s="143"/>
      <c r="C20" s="76"/>
      <c r="D20" s="76"/>
      <c r="E20" s="76"/>
      <c r="F20" s="76"/>
      <c r="G20" s="76"/>
      <c r="H20" s="76"/>
      <c r="I20" s="77"/>
    </row>
    <row r="21" spans="1:9">
      <c r="A21" s="30"/>
      <c r="B21" s="143"/>
      <c r="C21" s="76"/>
      <c r="D21" s="76"/>
      <c r="E21" s="76"/>
      <c r="F21" s="76"/>
      <c r="G21" s="76"/>
      <c r="H21" s="76"/>
      <c r="I21" s="77"/>
    </row>
    <row r="22" spans="1:9">
      <c r="A22" s="30"/>
      <c r="B22" s="76"/>
      <c r="C22" s="76"/>
      <c r="D22" s="76"/>
      <c r="E22" s="76"/>
      <c r="F22" s="76"/>
      <c r="G22" s="76"/>
      <c r="H22" s="76"/>
      <c r="I22" s="77"/>
    </row>
    <row r="23" spans="1:9">
      <c r="A23" s="30"/>
      <c r="B23" s="76"/>
      <c r="C23" s="76"/>
      <c r="D23" s="76"/>
      <c r="E23" s="76"/>
      <c r="F23" s="76"/>
      <c r="G23" s="76"/>
      <c r="H23" s="76"/>
      <c r="I23" s="77"/>
    </row>
    <row r="24" spans="1:9">
      <c r="A24" s="30"/>
      <c r="B24" s="76"/>
      <c r="C24" s="76"/>
      <c r="D24" s="76"/>
      <c r="E24" s="76"/>
      <c r="F24" s="76"/>
      <c r="G24" s="76"/>
      <c r="H24" s="76"/>
      <c r="I24" s="77"/>
    </row>
    <row r="25" spans="1:9">
      <c r="A25" s="30"/>
      <c r="B25" s="76"/>
      <c r="C25" s="76"/>
      <c r="D25" s="76"/>
      <c r="E25" s="76"/>
      <c r="F25" s="76"/>
      <c r="G25" s="76"/>
      <c r="H25" s="76"/>
      <c r="I25" s="77"/>
    </row>
    <row r="26" spans="1:9">
      <c r="A26" s="30"/>
      <c r="B26" s="76"/>
      <c r="C26" s="76"/>
      <c r="D26" s="76"/>
      <c r="E26" s="76"/>
      <c r="F26" s="76"/>
      <c r="G26" s="76"/>
      <c r="H26" s="76"/>
      <c r="I26" s="77"/>
    </row>
    <row r="27" spans="1:9">
      <c r="A27" s="30"/>
      <c r="B27" s="76"/>
      <c r="C27" s="76"/>
      <c r="D27" s="45"/>
      <c r="E27" s="76"/>
      <c r="F27" s="76"/>
      <c r="G27" s="45"/>
      <c r="H27" s="76"/>
      <c r="I27" s="77"/>
    </row>
    <row r="28" spans="1:9">
      <c r="A28" s="30"/>
      <c r="B28" s="76"/>
      <c r="C28" s="76"/>
      <c r="D28" s="76"/>
      <c r="E28" s="76"/>
      <c r="F28" s="45"/>
      <c r="G28" s="76"/>
      <c r="H28" s="76"/>
      <c r="I28" s="77"/>
    </row>
    <row r="29" spans="1:9">
      <c r="A29" s="30"/>
      <c r="B29" s="76"/>
      <c r="C29" s="76"/>
      <c r="D29" s="76"/>
      <c r="E29" s="76"/>
      <c r="F29" s="45"/>
      <c r="G29" s="76"/>
      <c r="H29" s="76"/>
      <c r="I29" s="77"/>
    </row>
    <row r="30" spans="1:9">
      <c r="A30" s="30"/>
      <c r="B30" s="76"/>
      <c r="C30" s="76"/>
      <c r="D30" s="76"/>
      <c r="E30" s="76"/>
      <c r="F30" s="76"/>
      <c r="G30" s="76"/>
      <c r="H30" s="76"/>
      <c r="I30" s="77"/>
    </row>
    <row r="31" spans="1:9">
      <c r="A31" s="30"/>
      <c r="I31" s="11"/>
    </row>
    <row r="32" spans="1:9">
      <c r="A32" s="30"/>
      <c r="I32" s="11"/>
    </row>
    <row r="33" spans="1:9">
      <c r="A33" s="30"/>
      <c r="I33" s="11"/>
    </row>
    <row r="34" spans="1:9">
      <c r="A34" s="30"/>
      <c r="I34" s="11"/>
    </row>
    <row r="35" spans="1:9">
      <c r="A35" s="30"/>
      <c r="I35" s="11"/>
    </row>
    <row r="36" spans="1:9">
      <c r="A36" s="30"/>
      <c r="I36" s="11"/>
    </row>
    <row r="37" spans="1:9">
      <c r="A37" s="30"/>
      <c r="I37" s="11"/>
    </row>
    <row r="38" spans="1:9">
      <c r="A38" s="30"/>
      <c r="I38" s="11"/>
    </row>
    <row r="39" spans="1:9" ht="15.75" thickBot="1">
      <c r="A39" s="30"/>
      <c r="I39" s="11"/>
    </row>
    <row r="40" spans="1:9">
      <c r="A40" s="30"/>
      <c r="C40" s="165" t="str">
        <f>general!U2</f>
        <v>VERTIKALFÜHRUNG MIT VORMONTIERTER WELLE (VL-T)</v>
      </c>
      <c r="D40" s="166"/>
      <c r="E40" s="166"/>
      <c r="F40" s="166"/>
      <c r="G40" s="166"/>
      <c r="H40" s="166"/>
      <c r="I40" s="167"/>
    </row>
    <row r="41" spans="1:9" ht="15.75" thickBot="1">
      <c r="A41" s="30"/>
      <c r="C41" s="168"/>
      <c r="D41" s="169"/>
      <c r="E41" s="169"/>
      <c r="F41" s="169"/>
      <c r="G41" s="169"/>
      <c r="H41" s="169"/>
      <c r="I41" s="170"/>
    </row>
    <row r="42" spans="1:9" ht="15.75" thickBot="1">
      <c r="A42" s="30"/>
      <c r="C42" s="159" t="str">
        <f>general!$AG$92</f>
        <v>Bedienung</v>
      </c>
      <c r="D42" s="160"/>
      <c r="E42" s="165" t="str">
        <f>general!AG93</f>
        <v>hand</v>
      </c>
      <c r="F42" s="166"/>
      <c r="G42" s="167"/>
      <c r="H42" s="171"/>
      <c r="I42" s="171"/>
    </row>
    <row r="43" spans="1:9" ht="15.75" thickBot="1">
      <c r="A43" s="30"/>
      <c r="C43" s="161"/>
      <c r="D43" s="162"/>
      <c r="E43" s="168"/>
      <c r="F43" s="169"/>
      <c r="G43" s="170"/>
      <c r="H43" s="171"/>
      <c r="I43" s="171"/>
    </row>
    <row r="44" spans="1:9" ht="15.75" thickBot="1">
      <c r="A44" s="30"/>
      <c r="C44" s="159" t="str">
        <f>general!R56</f>
        <v>Aufgestellt:</v>
      </c>
      <c r="D44" s="160"/>
      <c r="E44" s="158"/>
      <c r="F44" s="158"/>
      <c r="G44" s="158"/>
      <c r="H44" s="171"/>
      <c r="I44" s="171"/>
    </row>
    <row r="45" spans="1:9" ht="15.75" thickBot="1">
      <c r="A45" s="30"/>
      <c r="C45" s="161"/>
      <c r="D45" s="162"/>
      <c r="E45" s="158"/>
      <c r="F45" s="158"/>
      <c r="G45" s="158"/>
      <c r="H45" s="171"/>
      <c r="I45" s="171"/>
    </row>
    <row r="46" spans="1:9" ht="15.75" thickBot="1">
      <c r="A46" s="30"/>
      <c r="C46" s="159" t="str">
        <f>general!T56</f>
        <v>Bereinigt:</v>
      </c>
      <c r="D46" s="160"/>
      <c r="E46" s="158"/>
      <c r="F46" s="158"/>
      <c r="G46" s="158"/>
      <c r="H46" s="171"/>
      <c r="I46" s="171"/>
    </row>
    <row r="47" spans="1:9" ht="15.75" thickBot="1">
      <c r="A47" s="30"/>
      <c r="C47" s="161"/>
      <c r="D47" s="162"/>
      <c r="E47" s="158"/>
      <c r="F47" s="158"/>
      <c r="G47" s="158"/>
      <c r="H47" s="171"/>
      <c r="I47" s="171"/>
    </row>
    <row r="48" spans="1:9" ht="15.75" thickBot="1">
      <c r="A48" s="30"/>
      <c r="C48" s="159" t="str">
        <f>general!Z56</f>
        <v>Datum:</v>
      </c>
      <c r="D48" s="160"/>
      <c r="E48" s="163"/>
      <c r="F48" s="163"/>
      <c r="G48" s="163"/>
      <c r="H48" s="171"/>
      <c r="I48" s="171"/>
    </row>
    <row r="49" spans="1:9" ht="15.75" thickBot="1">
      <c r="A49" s="67"/>
      <c r="B49" s="1"/>
      <c r="C49" s="161"/>
      <c r="D49" s="162"/>
      <c r="E49" s="163"/>
      <c r="F49" s="163"/>
      <c r="G49" s="163"/>
      <c r="H49" s="171"/>
      <c r="I49" s="171"/>
    </row>
  </sheetData>
  <sheetProtection sheet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F0FA-3A95-440C-85F0-2188CFE749DC}">
  <sheetPr codeName="List4"/>
  <dimension ref="D6:AD138"/>
  <sheetViews>
    <sheetView topLeftCell="C1" workbookViewId="0">
      <selection activeCell="Y25" sqref="Y25"/>
    </sheetView>
  </sheetViews>
  <sheetFormatPr baseColWidth="10" defaultColWidth="9.140625" defaultRowHeight="15"/>
  <cols>
    <col min="20" max="20" width="11" customWidth="1"/>
    <col min="21" max="21" width="18.5703125" bestFit="1" customWidth="1"/>
    <col min="23" max="23" width="2.42578125" customWidth="1"/>
    <col min="24" max="24" width="15.5703125" customWidth="1"/>
    <col min="25" max="25" width="14.85546875" customWidth="1"/>
  </cols>
  <sheetData>
    <row r="6" spans="13:30">
      <c r="X6" s="174" t="s">
        <v>769</v>
      </c>
      <c r="Y6" s="175"/>
      <c r="Z6" s="175"/>
      <c r="AA6" s="175"/>
      <c r="AB6" s="175"/>
      <c r="AC6" s="175"/>
      <c r="AD6" s="176"/>
    </row>
    <row r="7" spans="13:30">
      <c r="X7" s="177"/>
      <c r="Y7" s="178"/>
      <c r="Z7" s="178"/>
      <c r="AA7" s="178"/>
      <c r="AB7" s="178"/>
      <c r="AC7" s="178"/>
      <c r="AD7" s="179"/>
    </row>
    <row r="8" spans="13:30">
      <c r="X8" s="177"/>
      <c r="Y8" s="178"/>
      <c r="Z8" s="178"/>
      <c r="AA8" s="178"/>
      <c r="AB8" s="178"/>
      <c r="AC8" s="178"/>
      <c r="AD8" s="179"/>
    </row>
    <row r="9" spans="13:30">
      <c r="X9" s="83"/>
      <c r="AD9" s="84"/>
    </row>
    <row r="10" spans="13:30">
      <c r="X10" s="83"/>
      <c r="AD10" s="84"/>
    </row>
    <row r="11" spans="13:30">
      <c r="X11" s="83"/>
      <c r="AA11">
        <f>IF(general!J9=general!AF98,280+280,IF(OR(general!J9=general!AF100,general!J9=general!AF101),330+280,430+280))</f>
        <v>560</v>
      </c>
      <c r="AD11" s="84"/>
    </row>
    <row r="12" spans="13:30">
      <c r="X12" s="83" t="s">
        <v>770</v>
      </c>
      <c r="Y12">
        <v>4500</v>
      </c>
      <c r="AD12" s="84"/>
    </row>
    <row r="13" spans="13:30">
      <c r="X13" s="83" t="s">
        <v>771</v>
      </c>
      <c r="Y13" t="str">
        <f>IF(OR(general!J3="",general!J7=""),"L+W+R ","L+W+R = " &amp; general!J3 +AA11)</f>
        <v xml:space="preserve">L+W+R </v>
      </c>
      <c r="AD13" s="84"/>
    </row>
    <row r="14" spans="13:30">
      <c r="X14" s="83"/>
      <c r="AD14" s="84"/>
    </row>
    <row r="15" spans="13:30">
      <c r="X15" s="83"/>
      <c r="AD15" s="84"/>
    </row>
    <row r="16" spans="13:30">
      <c r="M16" s="85"/>
      <c r="N16" s="85"/>
      <c r="O16" s="85"/>
      <c r="P16" s="85"/>
      <c r="Q16" s="85"/>
      <c r="R16" s="85"/>
      <c r="S16" s="85"/>
      <c r="T16" s="85"/>
      <c r="X16" s="86" t="s">
        <v>772</v>
      </c>
      <c r="Y16" s="57" t="str">
        <f>IF(OR(general!J7=""),"",IF(OR(general!J7=general!AG93,general!J7=general!AG99,general!J7=general!AG96),"L = "&amp;250,IF(general!J7=general!AG98,"L = "&amp;430,IF(general!J7=general!AG95,"L = "&amp;330))))</f>
        <v/>
      </c>
      <c r="Z16" t="str">
        <f>IF(OR(general!K9=general!AF104,general!K9=general!AF101),"",IF(general!K9=general!AF103,"L = " &amp; 430,IF(general!K9=general!AF100,"L = " &amp; 360,"")))</f>
        <v/>
      </c>
      <c r="AD16" s="84"/>
    </row>
    <row r="17" spans="4:30">
      <c r="M17" s="85"/>
      <c r="N17" s="85"/>
      <c r="O17" s="85"/>
      <c r="P17" s="85"/>
      <c r="Q17" s="85"/>
      <c r="R17" s="85"/>
      <c r="S17" s="85"/>
      <c r="T17" s="85"/>
      <c r="X17" s="87" t="s">
        <v>773</v>
      </c>
      <c r="Y17" s="57" t="str">
        <f>IF(OR(general!J7=""),"",IF(OR(general!J7=general!AG93,general!J7=general!AG95,general!J7=general!AG98),"R = "&amp;250,IF(general!J7=general!AG99,"R = "&amp;430,IF(general!J7=general!AG96,"R = "&amp;330))))</f>
        <v/>
      </c>
      <c r="Z17" t="str">
        <f>IF(OR(general!J9=general!AF100,general!J9=general!AF103),"",IF(general!J9=general!AF104,"R = " &amp; 430,IF(general!J9=general!AF101,"R = " &amp; 360,"")))</f>
        <v/>
      </c>
      <c r="AD17" s="84"/>
    </row>
    <row r="18" spans="4:30">
      <c r="M18" s="85"/>
      <c r="N18" s="85"/>
      <c r="O18" s="85"/>
      <c r="P18" s="85"/>
      <c r="Q18" s="85"/>
      <c r="R18" s="85"/>
      <c r="S18" s="85"/>
      <c r="T18" s="85"/>
      <c r="X18" s="88" t="s">
        <v>366</v>
      </c>
      <c r="Y18" s="57" t="e">
        <f>IF(general!J9=general!AF98,general!#REF!,general!K56)</f>
        <v>#REF!</v>
      </c>
      <c r="AD18" s="84"/>
    </row>
    <row r="19" spans="4:30">
      <c r="X19" s="83"/>
      <c r="Y19">
        <v>280</v>
      </c>
      <c r="AD19" s="84"/>
    </row>
    <row r="20" spans="4:30" ht="15" customHeight="1">
      <c r="D20" s="172" t="str">
        <f>general!AG99</f>
        <v>Antrieb - rechts</v>
      </c>
      <c r="E20" s="173"/>
      <c r="F20" s="173"/>
      <c r="G20" s="173"/>
      <c r="H20" s="173"/>
      <c r="I20" s="173"/>
      <c r="J20" s="173"/>
      <c r="X20" s="90"/>
      <c r="Y20" s="57">
        <f>IF(OR(general!J11=general!AF108,general!$K$11=""),250,290)</f>
        <v>250</v>
      </c>
      <c r="AD20" s="84"/>
    </row>
    <row r="21" spans="4:30">
      <c r="D21" s="172"/>
      <c r="E21" s="173"/>
      <c r="F21" s="173"/>
      <c r="G21" s="173"/>
      <c r="H21" s="173"/>
      <c r="I21" s="173"/>
      <c r="J21" s="173"/>
      <c r="X21" s="91"/>
      <c r="Y21" s="92" t="str">
        <f>IF(general!J5="","",IF(general!J5&lt;5500,160,200))</f>
        <v/>
      </c>
      <c r="Z21" s="92"/>
      <c r="AA21" s="92"/>
      <c r="AB21" s="92"/>
      <c r="AC21" s="92"/>
      <c r="AD21" s="93"/>
    </row>
    <row r="22" spans="4:30">
      <c r="D22" s="172"/>
      <c r="E22" s="173"/>
      <c r="F22" s="173"/>
      <c r="G22" s="173"/>
      <c r="H22" s="173"/>
      <c r="I22" s="173"/>
      <c r="J22" s="173"/>
      <c r="X22" t="s">
        <v>774</v>
      </c>
      <c r="Y22">
        <f>IF(OR(general!J9="",general!J9=general!AG101),250,290)</f>
        <v>250</v>
      </c>
    </row>
    <row r="23" spans="4:30">
      <c r="D23" s="172"/>
      <c r="E23" s="173"/>
      <c r="F23" s="173"/>
      <c r="G23" s="173"/>
      <c r="H23" s="173"/>
      <c r="I23" s="173"/>
      <c r="J23" s="173"/>
      <c r="W23" s="94"/>
      <c r="X23" t="s">
        <v>371</v>
      </c>
      <c r="Y23" t="str">
        <f>IF(general!J5="","A","A = " &amp;general!P57)</f>
        <v>A</v>
      </c>
    </row>
    <row r="24" spans="4:30">
      <c r="D24" s="172"/>
      <c r="E24" s="173"/>
      <c r="F24" s="173"/>
      <c r="G24" s="173"/>
      <c r="H24" s="173"/>
      <c r="I24" s="173"/>
      <c r="J24" s="173"/>
      <c r="X24" t="s">
        <v>366</v>
      </c>
      <c r="Y24" t="str">
        <f>IF(general!J7="","D","D = " &amp;general!L56)</f>
        <v>D</v>
      </c>
    </row>
    <row r="25" spans="4:30">
      <c r="D25" s="172"/>
      <c r="E25" s="173"/>
      <c r="F25" s="173"/>
      <c r="G25" s="173"/>
      <c r="H25" s="173"/>
      <c r="I25" s="173"/>
      <c r="J25" s="173"/>
      <c r="X25" t="s">
        <v>775</v>
      </c>
      <c r="Y25">
        <f>(general!J3*general!J5)/1000</f>
        <v>0</v>
      </c>
    </row>
    <row r="26" spans="4:30">
      <c r="D26" s="172"/>
      <c r="E26" s="173"/>
      <c r="F26" s="173"/>
      <c r="G26" s="173"/>
      <c r="H26" s="173"/>
      <c r="I26" s="173"/>
      <c r="J26" s="173"/>
    </row>
    <row r="27" spans="4:30">
      <c r="D27" s="172"/>
      <c r="E27" s="173"/>
      <c r="F27" s="173"/>
      <c r="G27" s="173"/>
      <c r="H27" s="173"/>
      <c r="I27" s="173"/>
      <c r="J27" s="173"/>
    </row>
    <row r="28" spans="4:30">
      <c r="D28" s="172"/>
      <c r="E28" s="173"/>
      <c r="F28" s="173"/>
      <c r="G28" s="173"/>
      <c r="H28" s="173"/>
      <c r="I28" s="173"/>
      <c r="J28" s="173"/>
      <c r="K28" s="95"/>
    </row>
    <row r="29" spans="4:30">
      <c r="D29" s="172"/>
      <c r="E29" s="173"/>
      <c r="F29" s="173"/>
      <c r="G29" s="173"/>
      <c r="H29" s="173"/>
      <c r="I29" s="173"/>
      <c r="J29" s="173"/>
    </row>
    <row r="30" spans="4:30">
      <c r="D30" s="172"/>
      <c r="E30" s="173"/>
      <c r="F30" s="173"/>
      <c r="G30" s="173"/>
      <c r="H30" s="173"/>
      <c r="I30" s="173"/>
      <c r="J30" s="173"/>
    </row>
    <row r="31" spans="4:30">
      <c r="D31" s="172"/>
      <c r="E31" s="173"/>
      <c r="F31" s="173"/>
      <c r="G31" s="173"/>
      <c r="H31" s="173"/>
      <c r="I31" s="173"/>
      <c r="J31" s="173"/>
    </row>
    <row r="32" spans="4:30">
      <c r="D32" s="172"/>
      <c r="E32" s="173"/>
      <c r="F32" s="173"/>
      <c r="G32" s="173"/>
      <c r="H32" s="173"/>
      <c r="I32" s="173"/>
      <c r="J32" s="173"/>
    </row>
    <row r="33" spans="4:10">
      <c r="D33" s="172"/>
      <c r="E33" s="173"/>
      <c r="F33" s="173"/>
      <c r="G33" s="173"/>
      <c r="H33" s="173"/>
      <c r="I33" s="173"/>
      <c r="J33" s="173"/>
    </row>
    <row r="34" spans="4:10">
      <c r="D34" s="172"/>
      <c r="E34" s="173"/>
      <c r="F34" s="173"/>
      <c r="G34" s="173"/>
      <c r="H34" s="173"/>
      <c r="I34" s="173"/>
      <c r="J34" s="173"/>
    </row>
    <row r="35" spans="4:10">
      <c r="D35" s="172"/>
      <c r="E35" s="173"/>
      <c r="F35" s="173"/>
      <c r="G35" s="173"/>
      <c r="H35" s="173"/>
      <c r="I35" s="173"/>
      <c r="J35" s="173"/>
    </row>
    <row r="36" spans="4:10">
      <c r="D36" s="172"/>
      <c r="E36" s="173"/>
      <c r="F36" s="173"/>
      <c r="G36" s="173"/>
      <c r="H36" s="173"/>
      <c r="I36" s="173"/>
      <c r="J36" s="173"/>
    </row>
    <row r="37" spans="4:10">
      <c r="D37" s="172"/>
      <c r="E37" s="173"/>
      <c r="F37" s="173"/>
      <c r="G37" s="173"/>
      <c r="H37" s="173"/>
      <c r="I37" s="173"/>
      <c r="J37" s="173"/>
    </row>
    <row r="38" spans="4:10">
      <c r="D38" s="172"/>
      <c r="E38" s="173"/>
      <c r="F38" s="173"/>
      <c r="G38" s="173"/>
      <c r="H38" s="173"/>
      <c r="I38" s="173"/>
      <c r="J38" s="173"/>
    </row>
    <row r="39" spans="4:10">
      <c r="D39" s="172"/>
      <c r="E39" s="173"/>
      <c r="F39" s="173"/>
      <c r="G39" s="173"/>
      <c r="H39" s="173"/>
      <c r="I39" s="173"/>
      <c r="J39" s="173"/>
    </row>
    <row r="40" spans="4:10">
      <c r="D40" s="172"/>
      <c r="E40" s="173"/>
      <c r="F40" s="173"/>
      <c r="G40" s="173"/>
      <c r="H40" s="173"/>
      <c r="I40" s="173"/>
      <c r="J40" s="173"/>
    </row>
    <row r="41" spans="4:10">
      <c r="D41" s="172"/>
      <c r="E41" s="173"/>
      <c r="F41" s="173"/>
      <c r="G41" s="173"/>
      <c r="H41" s="173"/>
      <c r="I41" s="173"/>
      <c r="J41" s="173"/>
    </row>
    <row r="42" spans="4:10">
      <c r="D42" s="96"/>
    </row>
    <row r="43" spans="4:10">
      <c r="D43" s="96"/>
    </row>
    <row r="44" spans="4:10" ht="15" customHeight="1">
      <c r="D44" s="172" t="str">
        <f>general!AG98</f>
        <v>Antrieb - links</v>
      </c>
      <c r="E44" s="173"/>
      <c r="F44" s="173"/>
      <c r="G44" s="173"/>
      <c r="H44" s="173"/>
      <c r="I44" s="173"/>
      <c r="J44" s="173"/>
    </row>
    <row r="45" spans="4:10">
      <c r="D45" s="172"/>
      <c r="E45" s="173"/>
      <c r="F45" s="173"/>
      <c r="G45" s="173"/>
      <c r="H45" s="173"/>
      <c r="I45" s="173"/>
      <c r="J45" s="173"/>
    </row>
    <row r="46" spans="4:10">
      <c r="D46" s="172"/>
      <c r="E46" s="173"/>
      <c r="F46" s="173"/>
      <c r="G46" s="173"/>
      <c r="H46" s="173"/>
      <c r="I46" s="173"/>
      <c r="J46" s="173"/>
    </row>
    <row r="47" spans="4:10">
      <c r="D47" s="172"/>
      <c r="E47" s="173"/>
      <c r="F47" s="173"/>
      <c r="G47" s="173"/>
      <c r="H47" s="173"/>
      <c r="I47" s="173"/>
      <c r="J47" s="173"/>
    </row>
    <row r="48" spans="4:10">
      <c r="D48" s="172"/>
      <c r="E48" s="173"/>
      <c r="F48" s="173"/>
      <c r="G48" s="173"/>
      <c r="H48" s="173"/>
      <c r="I48" s="173"/>
      <c r="J48" s="173"/>
    </row>
    <row r="49" spans="4:10">
      <c r="D49" s="172"/>
      <c r="E49" s="173"/>
      <c r="F49" s="173"/>
      <c r="G49" s="173"/>
      <c r="H49" s="173"/>
      <c r="I49" s="173"/>
      <c r="J49" s="173"/>
    </row>
    <row r="50" spans="4:10">
      <c r="D50" s="172"/>
      <c r="E50" s="173"/>
      <c r="F50" s="173"/>
      <c r="G50" s="173"/>
      <c r="H50" s="173"/>
      <c r="I50" s="173"/>
      <c r="J50" s="173"/>
    </row>
    <row r="51" spans="4:10">
      <c r="D51" s="172"/>
      <c r="E51" s="173"/>
      <c r="F51" s="173"/>
      <c r="G51" s="173"/>
      <c r="H51" s="173"/>
      <c r="I51" s="173"/>
      <c r="J51" s="173"/>
    </row>
    <row r="52" spans="4:10">
      <c r="D52" s="172"/>
      <c r="E52" s="173"/>
      <c r="F52" s="173"/>
      <c r="G52" s="173"/>
      <c r="H52" s="173"/>
      <c r="I52" s="173"/>
      <c r="J52" s="173"/>
    </row>
    <row r="53" spans="4:10">
      <c r="D53" s="172"/>
      <c r="E53" s="173"/>
      <c r="F53" s="173"/>
      <c r="G53" s="173"/>
      <c r="H53" s="173"/>
      <c r="I53" s="173"/>
      <c r="J53" s="173"/>
    </row>
    <row r="54" spans="4:10">
      <c r="D54" s="172"/>
      <c r="E54" s="173"/>
      <c r="F54" s="173"/>
      <c r="G54" s="173"/>
      <c r="H54" s="173"/>
      <c r="I54" s="173"/>
      <c r="J54" s="173"/>
    </row>
    <row r="55" spans="4:10">
      <c r="D55" s="172"/>
      <c r="E55" s="173"/>
      <c r="F55" s="173"/>
      <c r="G55" s="173"/>
      <c r="H55" s="173"/>
      <c r="I55" s="173"/>
      <c r="J55" s="173"/>
    </row>
    <row r="56" spans="4:10">
      <c r="D56" s="172"/>
      <c r="E56" s="173"/>
      <c r="F56" s="173"/>
      <c r="G56" s="173"/>
      <c r="H56" s="173"/>
      <c r="I56" s="173"/>
      <c r="J56" s="173"/>
    </row>
    <row r="57" spans="4:10">
      <c r="D57" s="172"/>
      <c r="E57" s="173"/>
      <c r="F57" s="173"/>
      <c r="G57" s="173"/>
      <c r="H57" s="173"/>
      <c r="I57" s="173"/>
      <c r="J57" s="173"/>
    </row>
    <row r="58" spans="4:10">
      <c r="D58" s="172"/>
      <c r="E58" s="173"/>
      <c r="F58" s="173"/>
      <c r="G58" s="173"/>
      <c r="H58" s="173"/>
      <c r="I58" s="173"/>
      <c r="J58" s="173"/>
    </row>
    <row r="59" spans="4:10">
      <c r="D59" s="172"/>
      <c r="E59" s="173"/>
      <c r="F59" s="173"/>
      <c r="G59" s="173"/>
      <c r="H59" s="173"/>
      <c r="I59" s="173"/>
      <c r="J59" s="173"/>
    </row>
    <row r="60" spans="4:10">
      <c r="D60" s="172"/>
      <c r="E60" s="173"/>
      <c r="F60" s="173"/>
      <c r="G60" s="173"/>
      <c r="H60" s="173"/>
      <c r="I60" s="173"/>
      <c r="J60" s="173"/>
    </row>
    <row r="61" spans="4:10">
      <c r="D61" s="172"/>
      <c r="E61" s="173"/>
      <c r="F61" s="173"/>
      <c r="G61" s="173"/>
      <c r="H61" s="173"/>
      <c r="I61" s="173"/>
      <c r="J61" s="173"/>
    </row>
    <row r="62" spans="4:10">
      <c r="D62" s="172"/>
      <c r="E62" s="173"/>
      <c r="F62" s="173"/>
      <c r="G62" s="173"/>
      <c r="H62" s="173"/>
      <c r="I62" s="173"/>
      <c r="J62" s="173"/>
    </row>
    <row r="63" spans="4:10">
      <c r="D63" s="172"/>
      <c r="E63" s="173"/>
      <c r="F63" s="173"/>
      <c r="G63" s="173"/>
      <c r="H63" s="173"/>
      <c r="I63" s="173"/>
      <c r="J63" s="173"/>
    </row>
    <row r="64" spans="4:10">
      <c r="D64" s="172"/>
      <c r="E64" s="173"/>
      <c r="F64" s="173"/>
      <c r="G64" s="173"/>
      <c r="H64" s="173"/>
      <c r="I64" s="173"/>
      <c r="J64" s="173"/>
    </row>
    <row r="65" spans="4:10">
      <c r="D65" s="172"/>
      <c r="E65" s="173"/>
      <c r="F65" s="173"/>
      <c r="G65" s="173"/>
      <c r="H65" s="173"/>
      <c r="I65" s="173"/>
      <c r="J65" s="173"/>
    </row>
    <row r="66" spans="4:10">
      <c r="D66" s="96"/>
    </row>
    <row r="67" spans="4:10">
      <c r="D67" s="96"/>
    </row>
    <row r="68" spans="4:10">
      <c r="D68" s="172" t="str">
        <f>general!AG93</f>
        <v>hand</v>
      </c>
      <c r="E68" s="173"/>
      <c r="F68" s="173"/>
      <c r="G68" s="173"/>
      <c r="H68" s="173"/>
      <c r="I68" s="173"/>
      <c r="J68" s="173"/>
    </row>
    <row r="69" spans="4:10">
      <c r="D69" s="172"/>
      <c r="E69" s="173"/>
      <c r="F69" s="173"/>
      <c r="G69" s="173"/>
      <c r="H69" s="173"/>
      <c r="I69" s="173"/>
      <c r="J69" s="173"/>
    </row>
    <row r="70" spans="4:10">
      <c r="D70" s="172"/>
      <c r="E70" s="173"/>
      <c r="F70" s="173"/>
      <c r="G70" s="173"/>
      <c r="H70" s="173"/>
      <c r="I70" s="173"/>
      <c r="J70" s="173"/>
    </row>
    <row r="71" spans="4:10">
      <c r="D71" s="172"/>
      <c r="E71" s="173"/>
      <c r="F71" s="173"/>
      <c r="G71" s="173"/>
      <c r="H71" s="173"/>
      <c r="I71" s="173"/>
      <c r="J71" s="173"/>
    </row>
    <row r="72" spans="4:10">
      <c r="D72" s="172"/>
      <c r="E72" s="173"/>
      <c r="F72" s="173"/>
      <c r="G72" s="173"/>
      <c r="H72" s="173"/>
      <c r="I72" s="173"/>
      <c r="J72" s="173"/>
    </row>
    <row r="73" spans="4:10">
      <c r="D73" s="172"/>
      <c r="E73" s="173"/>
      <c r="F73" s="173"/>
      <c r="G73" s="173"/>
      <c r="H73" s="173"/>
      <c r="I73" s="173"/>
      <c r="J73" s="173"/>
    </row>
    <row r="74" spans="4:10">
      <c r="D74" s="172"/>
      <c r="E74" s="173"/>
      <c r="F74" s="173"/>
      <c r="G74" s="173"/>
      <c r="H74" s="173"/>
      <c r="I74" s="173"/>
      <c r="J74" s="173"/>
    </row>
    <row r="75" spans="4:10">
      <c r="D75" s="172"/>
      <c r="E75" s="173"/>
      <c r="F75" s="173"/>
      <c r="G75" s="173"/>
      <c r="H75" s="173"/>
      <c r="I75" s="173"/>
      <c r="J75" s="173"/>
    </row>
    <row r="76" spans="4:10">
      <c r="D76" s="172"/>
      <c r="E76" s="173"/>
      <c r="F76" s="173"/>
      <c r="G76" s="173"/>
      <c r="H76" s="173"/>
      <c r="I76" s="173"/>
      <c r="J76" s="173"/>
    </row>
    <row r="77" spans="4:10">
      <c r="D77" s="172"/>
      <c r="E77" s="173"/>
      <c r="F77" s="173"/>
      <c r="G77" s="173"/>
      <c r="H77" s="173"/>
      <c r="I77" s="173"/>
      <c r="J77" s="173"/>
    </row>
    <row r="78" spans="4:10">
      <c r="D78" s="172"/>
      <c r="E78" s="173"/>
      <c r="F78" s="173"/>
      <c r="G78" s="173"/>
      <c r="H78" s="173"/>
      <c r="I78" s="173"/>
      <c r="J78" s="173"/>
    </row>
    <row r="79" spans="4:10">
      <c r="D79" s="172"/>
      <c r="E79" s="173"/>
      <c r="F79" s="173"/>
      <c r="G79" s="173"/>
      <c r="H79" s="173"/>
      <c r="I79" s="173"/>
      <c r="J79" s="173"/>
    </row>
    <row r="80" spans="4:10">
      <c r="D80" s="172"/>
      <c r="E80" s="173"/>
      <c r="F80" s="173"/>
      <c r="G80" s="173"/>
      <c r="H80" s="173"/>
      <c r="I80" s="173"/>
      <c r="J80" s="173"/>
    </row>
    <row r="81" spans="4:10">
      <c r="D81" s="172"/>
      <c r="E81" s="173"/>
      <c r="F81" s="173"/>
      <c r="G81" s="173"/>
      <c r="H81" s="173"/>
      <c r="I81" s="173"/>
      <c r="J81" s="173"/>
    </row>
    <row r="82" spans="4:10">
      <c r="D82" s="172"/>
      <c r="E82" s="173"/>
      <c r="F82" s="173"/>
      <c r="G82" s="173"/>
      <c r="H82" s="173"/>
      <c r="I82" s="173"/>
      <c r="J82" s="173"/>
    </row>
    <row r="83" spans="4:10">
      <c r="D83" s="172"/>
      <c r="E83" s="173"/>
      <c r="F83" s="173"/>
      <c r="G83" s="173"/>
      <c r="H83" s="173"/>
      <c r="I83" s="173"/>
      <c r="J83" s="173"/>
    </row>
    <row r="84" spans="4:10">
      <c r="D84" s="172"/>
      <c r="E84" s="173"/>
      <c r="F84" s="173"/>
      <c r="G84" s="173"/>
      <c r="H84" s="173"/>
      <c r="I84" s="173"/>
      <c r="J84" s="173"/>
    </row>
    <row r="85" spans="4:10">
      <c r="D85" s="172"/>
      <c r="E85" s="173"/>
      <c r="F85" s="173"/>
      <c r="G85" s="173"/>
      <c r="H85" s="173"/>
      <c r="I85" s="173"/>
      <c r="J85" s="173"/>
    </row>
    <row r="86" spans="4:10">
      <c r="D86" s="172"/>
      <c r="E86" s="173"/>
      <c r="F86" s="173"/>
      <c r="G86" s="173"/>
      <c r="H86" s="173"/>
      <c r="I86" s="173"/>
      <c r="J86" s="173"/>
    </row>
    <row r="87" spans="4:10">
      <c r="D87" s="172"/>
      <c r="E87" s="173"/>
      <c r="F87" s="173"/>
      <c r="G87" s="173"/>
      <c r="H87" s="173"/>
      <c r="I87" s="173"/>
      <c r="J87" s="173"/>
    </row>
    <row r="88" spans="4:10">
      <c r="D88" s="172"/>
      <c r="E88" s="173"/>
      <c r="F88" s="173"/>
      <c r="G88" s="173"/>
      <c r="H88" s="173"/>
      <c r="I88" s="173"/>
      <c r="J88" s="173"/>
    </row>
    <row r="89" spans="4:10">
      <c r="D89" s="172"/>
      <c r="E89" s="173"/>
      <c r="F89" s="173"/>
      <c r="G89" s="173"/>
      <c r="H89" s="173"/>
      <c r="I89" s="173"/>
      <c r="J89" s="173"/>
    </row>
    <row r="92" spans="4:10">
      <c r="D92" s="172" t="str">
        <f>general!AG96</f>
        <v>Haspelkette - rechts</v>
      </c>
      <c r="E92" s="173"/>
      <c r="F92" s="173"/>
      <c r="G92" s="173"/>
      <c r="H92" s="173"/>
      <c r="I92" s="173"/>
      <c r="J92" s="173"/>
    </row>
    <row r="93" spans="4:10">
      <c r="D93" s="172"/>
      <c r="E93" s="173"/>
      <c r="F93" s="173"/>
      <c r="G93" s="173"/>
      <c r="H93" s="173"/>
      <c r="I93" s="173"/>
      <c r="J93" s="173"/>
    </row>
    <row r="94" spans="4:10">
      <c r="D94" s="172"/>
      <c r="E94" s="173"/>
      <c r="F94" s="173"/>
      <c r="G94" s="173"/>
      <c r="H94" s="173"/>
      <c r="I94" s="173"/>
      <c r="J94" s="173"/>
    </row>
    <row r="95" spans="4:10">
      <c r="D95" s="172"/>
      <c r="E95" s="173"/>
      <c r="F95" s="173"/>
      <c r="G95" s="173"/>
      <c r="H95" s="173"/>
      <c r="I95" s="173"/>
      <c r="J95" s="173"/>
    </row>
    <row r="96" spans="4:10">
      <c r="D96" s="172"/>
      <c r="E96" s="173"/>
      <c r="F96" s="173"/>
      <c r="G96" s="173"/>
      <c r="H96" s="173"/>
      <c r="I96" s="173"/>
      <c r="J96" s="173"/>
    </row>
    <row r="97" spans="4:10">
      <c r="D97" s="172"/>
      <c r="E97" s="173"/>
      <c r="F97" s="173"/>
      <c r="G97" s="173"/>
      <c r="H97" s="173"/>
      <c r="I97" s="173"/>
      <c r="J97" s="173"/>
    </row>
    <row r="98" spans="4:10">
      <c r="D98" s="172"/>
      <c r="E98" s="173"/>
      <c r="F98" s="173"/>
      <c r="G98" s="173"/>
      <c r="H98" s="173"/>
      <c r="I98" s="173"/>
      <c r="J98" s="173"/>
    </row>
    <row r="99" spans="4:10">
      <c r="D99" s="172"/>
      <c r="E99" s="173"/>
      <c r="F99" s="173"/>
      <c r="G99" s="173"/>
      <c r="H99" s="173"/>
      <c r="I99" s="173"/>
      <c r="J99" s="173"/>
    </row>
    <row r="100" spans="4:10">
      <c r="D100" s="172"/>
      <c r="E100" s="173"/>
      <c r="F100" s="173"/>
      <c r="G100" s="173"/>
      <c r="H100" s="173"/>
      <c r="I100" s="173"/>
      <c r="J100" s="173"/>
    </row>
    <row r="101" spans="4:10">
      <c r="D101" s="172"/>
      <c r="E101" s="173"/>
      <c r="F101" s="173"/>
      <c r="G101" s="173"/>
      <c r="H101" s="173"/>
      <c r="I101" s="173"/>
      <c r="J101" s="173"/>
    </row>
    <row r="102" spans="4:10">
      <c r="D102" s="172"/>
      <c r="E102" s="173"/>
      <c r="F102" s="173"/>
      <c r="G102" s="173"/>
      <c r="H102" s="173"/>
      <c r="I102" s="173"/>
      <c r="J102" s="173"/>
    </row>
    <row r="103" spans="4:10">
      <c r="D103" s="172"/>
      <c r="E103" s="173"/>
      <c r="F103" s="173"/>
      <c r="G103" s="173"/>
      <c r="H103" s="173"/>
      <c r="I103" s="173"/>
      <c r="J103" s="173"/>
    </row>
    <row r="104" spans="4:10">
      <c r="D104" s="172"/>
      <c r="E104" s="173"/>
      <c r="F104" s="173"/>
      <c r="G104" s="173"/>
      <c r="H104" s="173"/>
      <c r="I104" s="173"/>
      <c r="J104" s="173"/>
    </row>
    <row r="105" spans="4:10">
      <c r="D105" s="172"/>
      <c r="E105" s="173"/>
      <c r="F105" s="173"/>
      <c r="G105" s="173"/>
      <c r="H105" s="173"/>
      <c r="I105" s="173"/>
      <c r="J105" s="173"/>
    </row>
    <row r="106" spans="4:10">
      <c r="D106" s="172"/>
      <c r="E106" s="173"/>
      <c r="F106" s="173"/>
      <c r="G106" s="173"/>
      <c r="H106" s="173"/>
      <c r="I106" s="173"/>
      <c r="J106" s="173"/>
    </row>
    <row r="107" spans="4:10">
      <c r="D107" s="172"/>
      <c r="E107" s="173"/>
      <c r="F107" s="173"/>
      <c r="G107" s="173"/>
      <c r="H107" s="173"/>
      <c r="I107" s="173"/>
      <c r="J107" s="173"/>
    </row>
    <row r="108" spans="4:10">
      <c r="D108" s="172"/>
      <c r="E108" s="173"/>
      <c r="F108" s="173"/>
      <c r="G108" s="173"/>
      <c r="H108" s="173"/>
      <c r="I108" s="173"/>
      <c r="J108" s="173"/>
    </row>
    <row r="109" spans="4:10">
      <c r="D109" s="172"/>
      <c r="E109" s="173"/>
      <c r="F109" s="173"/>
      <c r="G109" s="173"/>
      <c r="H109" s="173"/>
      <c r="I109" s="173"/>
      <c r="J109" s="173"/>
    </row>
    <row r="110" spans="4:10">
      <c r="D110" s="172"/>
      <c r="E110" s="173"/>
      <c r="F110" s="173"/>
      <c r="G110" s="173"/>
      <c r="H110" s="173"/>
      <c r="I110" s="173"/>
      <c r="J110" s="173"/>
    </row>
    <row r="111" spans="4:10">
      <c r="D111" s="172"/>
      <c r="E111" s="173"/>
      <c r="F111" s="173"/>
      <c r="G111" s="173"/>
      <c r="H111" s="173"/>
      <c r="I111" s="173"/>
      <c r="J111" s="173"/>
    </row>
    <row r="112" spans="4:10">
      <c r="D112" s="172"/>
      <c r="E112" s="173"/>
      <c r="F112" s="173"/>
      <c r="G112" s="173"/>
      <c r="H112" s="173"/>
      <c r="I112" s="173"/>
      <c r="J112" s="173"/>
    </row>
    <row r="113" spans="4:10">
      <c r="D113" s="172"/>
      <c r="E113" s="173"/>
      <c r="F113" s="173"/>
      <c r="G113" s="173"/>
      <c r="H113" s="173"/>
      <c r="I113" s="173"/>
      <c r="J113" s="173"/>
    </row>
    <row r="114" spans="4:10">
      <c r="D114" s="89"/>
      <c r="E114" s="4"/>
      <c r="F114" s="4"/>
      <c r="G114" s="4"/>
      <c r="H114" s="4"/>
      <c r="I114" s="4"/>
      <c r="J114" s="4"/>
    </row>
    <row r="117" spans="4:10">
      <c r="D117" s="172" t="str">
        <f>general!AG95</f>
        <v>Haspelkette - links</v>
      </c>
      <c r="E117" s="173"/>
      <c r="F117" s="173"/>
      <c r="G117" s="173"/>
      <c r="H117" s="173"/>
      <c r="I117" s="173"/>
      <c r="J117" s="173"/>
    </row>
    <row r="118" spans="4:10">
      <c r="D118" s="172"/>
      <c r="E118" s="173"/>
      <c r="F118" s="173"/>
      <c r="G118" s="173"/>
      <c r="H118" s="173"/>
      <c r="I118" s="173"/>
      <c r="J118" s="173"/>
    </row>
    <row r="119" spans="4:10">
      <c r="D119" s="172"/>
      <c r="E119" s="173"/>
      <c r="F119" s="173"/>
      <c r="G119" s="173"/>
      <c r="H119" s="173"/>
      <c r="I119" s="173"/>
      <c r="J119" s="173"/>
    </row>
    <row r="120" spans="4:10">
      <c r="D120" s="172"/>
      <c r="E120" s="173"/>
      <c r="F120" s="173"/>
      <c r="G120" s="173"/>
      <c r="H120" s="173"/>
      <c r="I120" s="173"/>
      <c r="J120" s="173"/>
    </row>
    <row r="121" spans="4:10">
      <c r="D121" s="172"/>
      <c r="E121" s="173"/>
      <c r="F121" s="173"/>
      <c r="G121" s="173"/>
      <c r="H121" s="173"/>
      <c r="I121" s="173"/>
      <c r="J121" s="173"/>
    </row>
    <row r="122" spans="4:10">
      <c r="D122" s="172"/>
      <c r="E122" s="173"/>
      <c r="F122" s="173"/>
      <c r="G122" s="173"/>
      <c r="H122" s="173"/>
      <c r="I122" s="173"/>
      <c r="J122" s="173"/>
    </row>
    <row r="123" spans="4:10">
      <c r="D123" s="172"/>
      <c r="E123" s="173"/>
      <c r="F123" s="173"/>
      <c r="G123" s="173"/>
      <c r="H123" s="173"/>
      <c r="I123" s="173"/>
      <c r="J123" s="173"/>
    </row>
    <row r="124" spans="4:10">
      <c r="D124" s="172"/>
      <c r="E124" s="173"/>
      <c r="F124" s="173"/>
      <c r="G124" s="173"/>
      <c r="H124" s="173"/>
      <c r="I124" s="173"/>
      <c r="J124" s="173"/>
    </row>
    <row r="125" spans="4:10">
      <c r="D125" s="172"/>
      <c r="E125" s="173"/>
      <c r="F125" s="173"/>
      <c r="G125" s="173"/>
      <c r="H125" s="173"/>
      <c r="I125" s="173"/>
      <c r="J125" s="173"/>
    </row>
    <row r="126" spans="4:10">
      <c r="D126" s="172"/>
      <c r="E126" s="173"/>
      <c r="F126" s="173"/>
      <c r="G126" s="173"/>
      <c r="H126" s="173"/>
      <c r="I126" s="173"/>
      <c r="J126" s="173"/>
    </row>
    <row r="127" spans="4:10">
      <c r="D127" s="172"/>
      <c r="E127" s="173"/>
      <c r="F127" s="173"/>
      <c r="G127" s="173"/>
      <c r="H127" s="173"/>
      <c r="I127" s="173"/>
      <c r="J127" s="173"/>
    </row>
    <row r="128" spans="4:10">
      <c r="D128" s="172"/>
      <c r="E128" s="173"/>
      <c r="F128" s="173"/>
      <c r="G128" s="173"/>
      <c r="H128" s="173"/>
      <c r="I128" s="173"/>
      <c r="J128" s="173"/>
    </row>
    <row r="129" spans="4:10">
      <c r="D129" s="172"/>
      <c r="E129" s="173"/>
      <c r="F129" s="173"/>
      <c r="G129" s="173"/>
      <c r="H129" s="173"/>
      <c r="I129" s="173"/>
      <c r="J129" s="173"/>
    </row>
    <row r="130" spans="4:10">
      <c r="D130" s="172"/>
      <c r="E130" s="173"/>
      <c r="F130" s="173"/>
      <c r="G130" s="173"/>
      <c r="H130" s="173"/>
      <c r="I130" s="173"/>
      <c r="J130" s="173"/>
    </row>
    <row r="131" spans="4:10">
      <c r="D131" s="172"/>
      <c r="E131" s="173"/>
      <c r="F131" s="173"/>
      <c r="G131" s="173"/>
      <c r="H131" s="173"/>
      <c r="I131" s="173"/>
      <c r="J131" s="173"/>
    </row>
    <row r="132" spans="4:10">
      <c r="D132" s="172"/>
      <c r="E132" s="173"/>
      <c r="F132" s="173"/>
      <c r="G132" s="173"/>
      <c r="H132" s="173"/>
      <c r="I132" s="173"/>
      <c r="J132" s="173"/>
    </row>
    <row r="133" spans="4:10">
      <c r="D133" s="172"/>
      <c r="E133" s="173"/>
      <c r="F133" s="173"/>
      <c r="G133" s="173"/>
      <c r="H133" s="173"/>
      <c r="I133" s="173"/>
      <c r="J133" s="173"/>
    </row>
    <row r="134" spans="4:10">
      <c r="D134" s="172"/>
      <c r="E134" s="173"/>
      <c r="F134" s="173"/>
      <c r="G134" s="173"/>
      <c r="H134" s="173"/>
      <c r="I134" s="173"/>
      <c r="J134" s="173"/>
    </row>
    <row r="135" spans="4:10">
      <c r="D135" s="172"/>
      <c r="E135" s="173"/>
      <c r="F135" s="173"/>
      <c r="G135" s="173"/>
      <c r="H135" s="173"/>
      <c r="I135" s="173"/>
      <c r="J135" s="173"/>
    </row>
    <row r="136" spans="4:10">
      <c r="D136" s="172"/>
      <c r="E136" s="173"/>
      <c r="F136" s="173"/>
      <c r="G136" s="173"/>
      <c r="H136" s="173"/>
      <c r="I136" s="173"/>
      <c r="J136" s="173"/>
    </row>
    <row r="137" spans="4:10">
      <c r="D137" s="172"/>
      <c r="E137" s="173"/>
      <c r="F137" s="173"/>
      <c r="G137" s="173"/>
      <c r="H137" s="173"/>
      <c r="I137" s="173"/>
      <c r="J137" s="173"/>
    </row>
    <row r="138" spans="4:10">
      <c r="D138" s="172"/>
      <c r="E138" s="173"/>
      <c r="F138" s="173"/>
      <c r="G138" s="173"/>
      <c r="H138" s="173"/>
      <c r="I138" s="173"/>
      <c r="J138" s="173"/>
    </row>
  </sheetData>
  <mergeCells count="11">
    <mergeCell ref="D92:D113"/>
    <mergeCell ref="E92:J113"/>
    <mergeCell ref="D117:D138"/>
    <mergeCell ref="E117:J138"/>
    <mergeCell ref="X6:AD8"/>
    <mergeCell ref="D20:D41"/>
    <mergeCell ref="E20:J41"/>
    <mergeCell ref="D44:D65"/>
    <mergeCell ref="E44:J65"/>
    <mergeCell ref="D68:D89"/>
    <mergeCell ref="E68:J89"/>
  </mergeCells>
  <dataValidations count="1">
    <dataValidation type="list" allowBlank="1" showInputMessage="1" showErrorMessage="1" sqref="M16:T18" xr:uid="{4B5B2BA2-1E1C-4AFD-B2BC-E67B38A7F888}">
      <formula1>$Y$8:$Y$9</formula1>
    </dataValidation>
  </dataValidation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general</vt:lpstr>
      <vt:lpstr>SW-L</vt:lpstr>
      <vt:lpstr>SW-R</vt:lpstr>
      <vt:lpstr>Manually_operated</vt:lpstr>
      <vt:lpstr>Obrázky</vt:lpstr>
      <vt:lpstr>general!Druckbereich</vt:lpstr>
      <vt:lpstr>Manually_operated!Druckbereich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2023-11-14T12:39:17Z</dcterms:created>
  <dcterms:modified xsi:type="dcterms:W3CDTF">2024-07-10T07:35:15Z</dcterms:modified>
</cp:coreProperties>
</file>