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https://doorsystems-my.sharepoint.com/personal/t_krause_door-systems_de/Documents/Marketing2/Dokumentation/12_Montageanleitungen/TOORS/original/Industrietore/Einbauzeichnungen/"/>
    </mc:Choice>
  </mc:AlternateContent>
  <xr:revisionPtr revIDLastSave="0" documentId="8_{61476444-C767-40FE-9302-4392F34AFAEF}" xr6:coauthVersionLast="47" xr6:coauthVersionMax="47" xr10:uidLastSave="{00000000-0000-0000-0000-000000000000}"/>
  <bookViews>
    <workbookView xWindow="28680" yWindow="-120" windowWidth="29040" windowHeight="15840" xr2:uid="{34B30BC3-5E4C-4275-8EDC-B7CDF283DD79}"/>
  </bookViews>
  <sheets>
    <sheet name="general" sheetId="1" r:id="rId1"/>
    <sheet name="SW-R" sheetId="2" r:id="rId2"/>
    <sheet name="SW-L" sheetId="3" r:id="rId3"/>
    <sheet name="Manually_operated" sheetId="4" r:id="rId4"/>
    <sheet name="Obrázky" sheetId="5" state="hidden" r:id="rId5"/>
  </sheets>
  <definedNames>
    <definedName name="_xlnm.Print_Area" localSheetId="0">general!$A$1:$AH$70</definedName>
    <definedName name="motor">INDEX(Obrázky!$E$20:$E$197, MATCH(general!$K$7,Obrázky!$D$20:$D$137,0))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2" i="5" l="1"/>
  <c r="Z17" i="5"/>
  <c r="Z16" i="5"/>
  <c r="Z13" i="5"/>
  <c r="F28" i="4"/>
  <c r="A15" i="4"/>
  <c r="F28" i="3"/>
  <c r="A15" i="3"/>
  <c r="F28" i="2"/>
  <c r="A15" i="2"/>
  <c r="L69" i="1"/>
  <c r="L68" i="1"/>
  <c r="L67" i="1"/>
  <c r="I66" i="1"/>
  <c r="L65" i="1"/>
  <c r="K65" i="1"/>
  <c r="G65" i="1"/>
  <c r="P64" i="1"/>
  <c r="L64" i="1"/>
  <c r="K64" i="1"/>
  <c r="G64" i="1"/>
  <c r="I63" i="1"/>
  <c r="F63" i="1"/>
  <c r="K62" i="1"/>
  <c r="G62" i="1"/>
  <c r="F62" i="1"/>
  <c r="I61" i="1"/>
  <c r="F61" i="1"/>
  <c r="L60" i="1"/>
  <c r="G68" i="1" s="1"/>
  <c r="F60" i="1"/>
  <c r="L59" i="1"/>
  <c r="G59" i="1"/>
  <c r="F59" i="1"/>
  <c r="L58" i="1"/>
  <c r="G58" i="1"/>
  <c r="G60" i="1" s="1"/>
  <c r="F58" i="1"/>
  <c r="F57" i="1"/>
  <c r="AL46" i="1"/>
  <c r="AL43" i="1"/>
  <c r="J32" i="1"/>
  <c r="N30" i="1"/>
  <c r="M30" i="1"/>
  <c r="K30" i="1"/>
  <c r="J30" i="1"/>
  <c r="AG17" i="1"/>
  <c r="Q14" i="1"/>
  <c r="P13" i="1"/>
  <c r="O13" i="1"/>
  <c r="O12" i="1"/>
  <c r="N11" i="1"/>
  <c r="O10" i="1"/>
  <c r="N10" i="1"/>
  <c r="AG4" i="1"/>
  <c r="AE1" i="1"/>
  <c r="AG126" i="1" s="1"/>
  <c r="AG32" i="1" l="1"/>
  <c r="G69" i="1"/>
  <c r="AG15" i="1"/>
  <c r="AG52" i="1"/>
  <c r="L62" i="1"/>
  <c r="AG7" i="1"/>
  <c r="AG6" i="1"/>
  <c r="AG56" i="1"/>
  <c r="AG66" i="1"/>
  <c r="AG99" i="1"/>
  <c r="AG119" i="1"/>
  <c r="X4" i="1" s="1"/>
  <c r="AG8" i="1"/>
  <c r="AG33" i="1"/>
  <c r="AG43" i="1"/>
  <c r="AG49" i="1"/>
  <c r="AG61" i="1"/>
  <c r="G67" i="1"/>
  <c r="AG73" i="1"/>
  <c r="AG81" i="1"/>
  <c r="AG91" i="1"/>
  <c r="AG101" i="1"/>
  <c r="AG109" i="1"/>
  <c r="AG120" i="1"/>
  <c r="H9" i="1" s="1"/>
  <c r="AG42" i="1"/>
  <c r="AG80" i="1"/>
  <c r="AG90" i="1"/>
  <c r="AG2" i="1"/>
  <c r="AG13" i="1"/>
  <c r="AG36" i="1"/>
  <c r="K68" i="1"/>
  <c r="AG74" i="1"/>
  <c r="AG82" i="1"/>
  <c r="AG92" i="1"/>
  <c r="AG102" i="1"/>
  <c r="AG110" i="1"/>
  <c r="AG121" i="1"/>
  <c r="AG62" i="1"/>
  <c r="AG72" i="1"/>
  <c r="AG108" i="1"/>
  <c r="AG26" i="1"/>
  <c r="O5" i="1"/>
  <c r="AG21" i="1"/>
  <c r="AG44" i="1"/>
  <c r="K69" i="1"/>
  <c r="AG75" i="1"/>
  <c r="AG85" i="1"/>
  <c r="AG93" i="1"/>
  <c r="AG103" i="1"/>
  <c r="AG112" i="1"/>
  <c r="AG122" i="1"/>
  <c r="AG5" i="1"/>
  <c r="AG27" i="1"/>
  <c r="AG30" i="1"/>
  <c r="AG37" i="1"/>
  <c r="AG45" i="1"/>
  <c r="AG50" i="1"/>
  <c r="AG60" i="1"/>
  <c r="AG65" i="1"/>
  <c r="K67" i="1"/>
  <c r="AG76" i="1"/>
  <c r="AG86" i="1"/>
  <c r="AG94" i="1"/>
  <c r="AG104" i="1"/>
  <c r="K60" i="1" s="1"/>
  <c r="AG113" i="1"/>
  <c r="B55" i="1" s="1"/>
  <c r="AG123" i="1"/>
  <c r="H58" i="1" s="1"/>
  <c r="AG3" i="1"/>
  <c r="H3" i="1" s="1"/>
  <c r="AG14" i="1"/>
  <c r="AG22" i="1"/>
  <c r="AG31" i="1"/>
  <c r="AG51" i="1"/>
  <c r="AG69" i="1"/>
  <c r="AG77" i="1"/>
  <c r="AG87" i="1"/>
  <c r="AG95" i="1"/>
  <c r="AG105" i="1"/>
  <c r="AG115" i="1"/>
  <c r="AG124" i="1"/>
  <c r="H59" i="1" s="1"/>
  <c r="AG28" i="1"/>
  <c r="AG38" i="1"/>
  <c r="AG55" i="1"/>
  <c r="B52" i="1" s="1"/>
  <c r="AG57" i="1"/>
  <c r="AG64" i="1"/>
  <c r="M59" i="1" s="1"/>
  <c r="AG67" i="1"/>
  <c r="AG70" i="1"/>
  <c r="AG78" i="1"/>
  <c r="H60" i="1" s="1"/>
  <c r="AG88" i="1"/>
  <c r="AG96" i="1"/>
  <c r="AG106" i="1"/>
  <c r="AG116" i="1"/>
  <c r="AG125" i="1"/>
  <c r="AG16" i="1"/>
  <c r="AG23" i="1"/>
  <c r="AG29" i="1"/>
  <c r="AG39" i="1"/>
  <c r="AG46" i="1"/>
  <c r="AG63" i="1"/>
  <c r="AG68" i="1"/>
  <c r="AG71" i="1"/>
  <c r="AG79" i="1"/>
  <c r="AG89" i="1"/>
  <c r="AG97" i="1"/>
  <c r="AG107" i="1"/>
  <c r="AG118" i="1"/>
  <c r="J20" i="1" s="1"/>
  <c r="AU5" i="1" l="1"/>
  <c r="D47" i="5"/>
  <c r="E42" i="3"/>
  <c r="AU4" i="1"/>
  <c r="D20" i="5"/>
  <c r="E42" i="2"/>
  <c r="AU2" i="1"/>
  <c r="D128" i="5"/>
  <c r="C42" i="2"/>
  <c r="R55" i="1"/>
  <c r="C42" i="4"/>
  <c r="C42" i="3"/>
  <c r="Z61" i="1"/>
  <c r="H67" i="1"/>
  <c r="AU3" i="1"/>
  <c r="D101" i="5"/>
  <c r="P9" i="1"/>
  <c r="P58" i="1"/>
  <c r="Z18" i="5"/>
  <c r="D74" i="5"/>
  <c r="E42" i="4"/>
  <c r="G61" i="1"/>
  <c r="G66" i="1"/>
  <c r="G63" i="1"/>
  <c r="C65" i="1"/>
  <c r="H65" i="1"/>
  <c r="C62" i="1"/>
  <c r="C66" i="1"/>
  <c r="M63" i="1"/>
  <c r="B54" i="1"/>
  <c r="V61" i="1"/>
  <c r="B56" i="1"/>
  <c r="V63" i="1"/>
  <c r="AA61" i="1"/>
  <c r="H68" i="1"/>
  <c r="R50" i="1"/>
  <c r="C60" i="1"/>
  <c r="M61" i="1"/>
  <c r="H62" i="1"/>
  <c r="H69" i="1"/>
  <c r="X46" i="1"/>
  <c r="J21" i="1"/>
  <c r="C63" i="1"/>
  <c r="L38" i="1"/>
  <c r="AA68" i="1"/>
  <c r="X61" i="1"/>
  <c r="R53" i="1"/>
  <c r="R61" i="1"/>
  <c r="C57" i="1"/>
  <c r="B53" i="1"/>
  <c r="R58" i="1"/>
  <c r="T61" i="1"/>
  <c r="R57" i="1"/>
  <c r="C58" i="1"/>
  <c r="R59" i="1"/>
  <c r="Y32" i="1"/>
  <c r="C64" i="1"/>
  <c r="H64" i="1"/>
  <c r="Y27" i="1"/>
  <c r="R52" i="1"/>
  <c r="R46" i="1"/>
  <c r="H7" i="1"/>
  <c r="G57" i="1"/>
  <c r="H5" i="1"/>
  <c r="C61" i="1"/>
  <c r="E14" i="1"/>
  <c r="V68" i="1"/>
  <c r="W2" i="1"/>
  <c r="AB61" i="1"/>
  <c r="E37" i="1"/>
  <c r="Z68" i="1"/>
  <c r="C59" i="1"/>
  <c r="Y22" i="1"/>
  <c r="J67" i="1"/>
  <c r="AU1" i="1"/>
  <c r="J69" i="1"/>
  <c r="J68" i="1"/>
  <c r="M57" i="1"/>
  <c r="B50" i="1"/>
  <c r="C48" i="4" l="1"/>
  <c r="C48" i="3"/>
  <c r="C48" i="2"/>
  <c r="C44" i="4"/>
  <c r="C44" i="3"/>
  <c r="C44" i="2"/>
  <c r="C46" i="4"/>
  <c r="C46" i="3"/>
  <c r="C46" i="2"/>
  <c r="C40" i="3"/>
  <c r="C40" i="2"/>
  <c r="C40" i="4"/>
  <c r="P60" i="1"/>
  <c r="A5" i="4"/>
  <c r="A5" i="3"/>
  <c r="A5" i="2"/>
  <c r="J23" i="1"/>
  <c r="J28" i="1"/>
  <c r="J25" i="1"/>
  <c r="J26" i="1"/>
</calcChain>
</file>

<file path=xl/sharedStrings.xml><?xml version="1.0" encoding="utf-8"?>
<sst xmlns="http://schemas.openxmlformats.org/spreadsheetml/2006/main" count="945" uniqueCount="854">
  <si>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</si>
  <si>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</si>
  <si>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</si>
  <si>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</si>
  <si>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</si>
  <si>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</si>
  <si>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</si>
  <si>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</si>
  <si>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</si>
  <si>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</si>
  <si>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</si>
  <si>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</si>
  <si>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</si>
  <si>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</si>
  <si>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</si>
  <si>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</si>
  <si>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</si>
  <si>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</si>
  <si>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</si>
  <si>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</si>
  <si>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</si>
  <si>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</si>
  <si>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</si>
  <si>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</si>
  <si>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</si>
  <si>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</si>
  <si>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</si>
  <si>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</si>
  <si>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</si>
  <si>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</si>
  <si>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</si>
  <si>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</si>
  <si>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</si>
  <si>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</si>
  <si>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</si>
  <si>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</si>
  <si>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</si>
  <si>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</si>
  <si>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</si>
  <si>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</si>
  <si>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</si>
  <si>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</si>
  <si>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W max 6000 mm; H max 5000 mm; max. 23 m2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</si>
  <si>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</si>
  <si>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</si>
  <si>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</si>
  <si>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</si>
  <si>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</si>
  <si>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</si>
  <si>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</si>
  <si>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</si>
  <si>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</si>
  <si>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</si>
  <si>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</si>
  <si>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</si>
  <si>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</si>
  <si>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</si>
  <si>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</si>
  <si>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</si>
  <si>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</si>
  <si>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</si>
  <si>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</si>
  <si>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</si>
  <si>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</si>
  <si>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</si>
  <si>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</si>
  <si>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</si>
  <si>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</si>
  <si>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</si>
  <si>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</si>
  <si>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</si>
  <si>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</si>
  <si>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</si>
  <si>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</si>
  <si>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</si>
  <si>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</si>
  <si>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</si>
  <si>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</si>
  <si>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</si>
  <si>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</si>
  <si>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</si>
  <si>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VEDENÍ PRO NÍZKÝ PŘEKLAD (LL-DT)</t>
  </si>
  <si>
    <t>LOW LIFT SYSTEM (LL-DT)</t>
  </si>
  <si>
    <t>NIEDRIGSTURZ BESCHLAG (LL-DT)</t>
  </si>
  <si>
    <t>PROWADZENIE DLA NIESKIEGO NADPROŻA (LL-DTE)</t>
  </si>
  <si>
    <t>LEVEE REDUITE (LL-DT)</t>
  </si>
  <si>
    <t>LAAG PLAFONDSYSTEEM KABELS BINNENDOOR (LL-DT)</t>
  </si>
  <si>
    <t>Madaltõste (LL-Dt)</t>
  </si>
  <si>
    <t>MATALANOSTO (LL-DT</t>
  </si>
  <si>
    <t>НИЗКИЙ ПОДЪЕМ (LL-DT)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</si>
  <si>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</si>
  <si>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</si>
  <si>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</si>
  <si>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</si>
  <si>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</si>
  <si>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verenpakket boven latei</t>
  </si>
  <si>
    <t>Vedrud ava kohal</t>
  </si>
  <si>
    <t>jouset ovipalkkin päällä</t>
  </si>
  <si>
    <t>нижнее расположение вала</t>
  </si>
  <si>
    <t>pro HL&gt;600 a HL&lt;=1200</t>
  </si>
  <si>
    <t>for HL&gt;600 and HL&lt;=1200</t>
  </si>
  <si>
    <t>pro HL&gt;600 und HL&lt;=1200</t>
  </si>
  <si>
    <t>pro HL&gt;600 i HL&lt;=1200</t>
  </si>
  <si>
    <t>pro HL&gt;600 et HL&lt;=1200</t>
  </si>
  <si>
    <t>van HL&gt;600 tot HL&lt;=1200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</si>
  <si>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</si>
  <si>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</si>
  <si>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</si>
  <si>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</si>
  <si>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</si>
  <si>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</si>
  <si>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</si>
  <si>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</si>
  <si>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PANEEL 40 mm</t>
  </si>
  <si>
    <t>Lamelli 40mm</t>
  </si>
  <si>
    <t xml:space="preserve">ТОЛЩИНА СЕКЦИИ 40мм </t>
  </si>
  <si>
    <t>Max. W x H 5000x5000, max. 24 m2 (300 kg)</t>
  </si>
  <si>
    <t>Max. W x H 4000x4000</t>
  </si>
  <si>
    <t>макс. ШхВ (WxH) 4000x4000</t>
  </si>
  <si>
    <t>*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</si>
  <si>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</si>
  <si>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</si>
  <si>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</si>
  <si>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</si>
  <si>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</si>
  <si>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</si>
  <si>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</si>
  <si>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</si>
  <si>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</si>
  <si>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</si>
  <si>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</si>
  <si>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</si>
  <si>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</si>
  <si>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</si>
  <si>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</si>
  <si>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</si>
  <si>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</si>
  <si>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</si>
  <si>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</si>
  <si>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</si>
  <si>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</si>
  <si>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</si>
  <si>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</si>
  <si>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</si>
  <si>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</si>
  <si>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</si>
  <si>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</si>
  <si>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</si>
  <si>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</si>
  <si>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</si>
  <si>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</si>
  <si>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</si>
  <si>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</si>
  <si>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</si>
  <si>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</si>
  <si>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</si>
  <si>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</si>
  <si>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</si>
  <si>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</si>
  <si>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</si>
  <si>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</si>
  <si>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</si>
  <si>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</si>
  <si>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</si>
  <si>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</si>
  <si>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</si>
  <si>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</si>
  <si>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</si>
  <si>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</si>
  <si>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</si>
  <si>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</si>
  <si>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</si>
  <si>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</si>
  <si>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</si>
  <si>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</si>
  <si>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</si>
  <si>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</si>
  <si>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</si>
  <si>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</si>
  <si>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Bevestigingsmogelijkheid voor de tussen- en eindophanging van de horizontale looprails tot max. 1m boven deze looprails.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</si>
  <si>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</si>
  <si>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</si>
  <si>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</si>
  <si>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</si>
  <si>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</si>
  <si>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</si>
  <si>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</si>
  <si>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</si>
  <si>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Benodigde montagevlakken en vrije ruimtes, volgens tekening.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</si>
  <si>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</si>
  <si>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</si>
  <si>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</si>
  <si>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</si>
  <si>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</si>
  <si>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</si>
  <si>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</si>
  <si>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</si>
  <si>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</si>
  <si>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</si>
  <si>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</si>
  <si>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</si>
  <si>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</si>
  <si>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</si>
  <si>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</si>
  <si>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</si>
  <si>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</si>
  <si>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</si>
  <si>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</si>
  <si>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</si>
  <si>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</si>
  <si>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</t>
  </si>
  <si>
    <t>Provide suitable mounting surface for control panel.</t>
  </si>
  <si>
    <t>Montagefläche für Schaltkasten.</t>
  </si>
  <si>
    <t>Zapewnić odpowiednią powierzchnię montażową dla jednostki sterującej silnika.</t>
  </si>
  <si>
    <t>Assurer une surface de montage adéquate pour le coffret de commande du moteur.</t>
  </si>
  <si>
    <t>Montagevlak t.b.v. schakelkast, afmetingen.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</si>
  <si>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</si>
  <si>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</si>
  <si>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</si>
  <si>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</si>
  <si>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</si>
  <si>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BENÖTIGTER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</si>
  <si>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</si>
  <si>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</si>
  <si>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</si>
  <si>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</si>
  <si>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</si>
  <si>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</si>
  <si>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DODATEČNÉ MONTÁŽNÍ PLOCHY PRO KONZOLY</t>
  </si>
  <si>
    <t>EXTRA PLANES AT WEAK SURFACES</t>
  </si>
  <si>
    <t>MONTAGEFLÄCHE FÜR DEN MOTOR</t>
  </si>
  <si>
    <t>Dodatkowych obszarach montażu konsoli</t>
  </si>
  <si>
    <t>FACILITÉ DE MONTAGE ADDITIONNEL POUR CONSOLE</t>
  </si>
  <si>
    <t>EXTRA VLAKKEN BIJ ZWAKKE ONDERGROND</t>
  </si>
  <si>
    <t>Lisaplaadid nõrgale pinnale</t>
  </si>
  <si>
    <t xml:space="preserve">LISÄ ASENNUSTILA </t>
  </si>
  <si>
    <t>металлокаркас из стальной профильной трубы</t>
  </si>
  <si>
    <t>NEZBYTNÝ VOLNÝ PROSTOR</t>
  </si>
  <si>
    <t>NECESSARY FREE ROOM</t>
  </si>
  <si>
    <t>BENÖTIGTER FREIRAUM</t>
  </si>
  <si>
    <t>niezbędne miejsce</t>
  </si>
  <si>
    <t>ESPACE LIBRE NECESSAIRE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</si>
  <si>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</si>
  <si>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</si>
  <si>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</si>
  <si>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</si>
  <si>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VOLNÝ PROSTOR PRO MOTOR/ŘETĚZ.PŘEVOD</t>
  </si>
  <si>
    <t>EXTRA FREE ROOM FOR MOTOR/CHAIN</t>
  </si>
  <si>
    <t>EXTRA FREIRAUM FÜR MOTOR/KETTE</t>
  </si>
  <si>
    <t>Wolnego miejsca na silnik, napęd łańcuchowy</t>
  </si>
  <si>
    <t>ESPACE LIBRE POUR MOTEUR / CHAINE DE LEVAGE.</t>
  </si>
  <si>
    <t>EXTRA VRIJE RUIMTE BIJ MOTOR/KETTING</t>
  </si>
  <si>
    <t>Lisa vaba ruum mootorile/ketile</t>
  </si>
  <si>
    <t>LISÄTILA MOOTORIA/KETJUA VARTEN</t>
  </si>
  <si>
    <t>дополнительное свободное пространство для двигателя/подъемной цепи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</si>
  <si>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</si>
  <si>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</si>
  <si>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</si>
  <si>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</si>
  <si>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</si>
  <si>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</si>
  <si>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</si>
  <si>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</si>
  <si>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</si>
  <si>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</si>
  <si>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</si>
  <si>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</si>
  <si>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</si>
  <si>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</si>
  <si>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</si>
  <si>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</si>
  <si>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</si>
  <si>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</si>
  <si>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</si>
  <si>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</si>
  <si>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</si>
  <si>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</si>
  <si>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</si>
  <si>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</si>
  <si>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</si>
  <si>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</si>
  <si>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</si>
  <si>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</si>
  <si>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</si>
  <si>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</si>
  <si>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</si>
  <si>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</si>
  <si>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</si>
  <si>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</si>
  <si>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</si>
  <si>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</si>
  <si>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</t>
  </si>
  <si>
    <t>necessary side room for electrical- or hauling chain operation</t>
  </si>
  <si>
    <t xml:space="preserve">Benötigter Freiraum bei Elektro- oder Haspelkettenbedienung </t>
  </si>
  <si>
    <t>niezbędna przestrzeń boczna dla silnika lub napędu łańcuchowego</t>
  </si>
  <si>
    <t>écoinçon minimum requis pour le moteur ou treuil a chaîne</t>
  </si>
  <si>
    <t>benodigde vrije ruimte voor elektrische- of ketting bediening</t>
  </si>
  <si>
    <t>vajalik küljeruum mootori või tali puhul</t>
  </si>
  <si>
    <t xml:space="preserve">tarvittava tila mootori- tai ketjunostolle </t>
  </si>
  <si>
    <t>необходимое боковое пространство для электропривода или цепного редуктора</t>
  </si>
  <si>
    <t>montážní plocha pro řídící jednotku. Rozměry najdete v dokumentaci ŘJ.</t>
  </si>
  <si>
    <t>Mounting surface for control panel. See product documentation for dimensions</t>
  </si>
  <si>
    <t>Montagefläche für Antriebsteuerung. Siehe Produktdokumentation für Abmessungen</t>
  </si>
  <si>
    <t>Powierzchnia montażowa dla jednostki sterującej. Wymiary można znaleźć w dokumentacji produktu</t>
  </si>
  <si>
    <t>Surface de montage pour le Coffret de commande</t>
  </si>
  <si>
    <t>Montagevlak t.b.v. Zie productdocumentatie voor afmetingen</t>
  </si>
  <si>
    <t>Kontrolli paigaldusala. Vaata toote dokumentatsiooni mõõtmete kohta</t>
  </si>
  <si>
    <t>Kiinnityspinta ohjauspaneelia varten. Katso mitat tuoteasiakirjoista</t>
  </si>
  <si>
    <t>монтажная поверхность для блока управления. Размеры см. в документации на изделие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</si>
  <si>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</si>
  <si>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</si>
  <si>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</si>
  <si>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</si>
  <si>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</si>
  <si>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</si>
  <si>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</si>
  <si>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</si>
  <si>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</si>
  <si>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Zásuvka, parametry najdete v dokumentaci produktu</t>
  </si>
  <si>
    <t>Electric outlet parameters can be found in the product documentation.</t>
  </si>
  <si>
    <t>Die Parameter der Steckdosen sind in der Produktdokumentation zu finden.</t>
  </si>
  <si>
    <t>Parametry gniazdka elektrycznego można znaleźć w dokumentacji produktu.</t>
  </si>
  <si>
    <t>Les paramètres des prises électriques sont indiqués dans la documentation du produit.</t>
  </si>
  <si>
    <t>De parameters van het stopcontact zijn te vinden in de productdocumentatie.</t>
  </si>
  <si>
    <t>Elektripistiku parameetrid leiate toote dokumentatsioonist.</t>
  </si>
  <si>
    <t>Pistorasian parametrit löytyvät tuoteasiakirjoista.</t>
  </si>
  <si>
    <t>Параметры электрической розетки приведены в документации на изделие.</t>
  </si>
  <si>
    <t>Stěna nad překladem, stěny vedle otvoru a plochy pro montáž konzol musí být rovné a v jedné rovině.</t>
  </si>
  <si>
    <t>The rear face of the lintel and the door jambs, as well as the surface for the spring packet must be levelled and in line.</t>
  </si>
  <si>
    <t>Die hinteren Seiten der Sturze und Pfeiler, sowie die Montagefläche für das Federpaket müssen eben und auf einer Linie liegen.</t>
  </si>
  <si>
    <t>Ściany tłumaczenia, obok ściany otworu oraz wszystkie obszary i zbiórki musi być kolor.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</si>
  <si>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</si>
  <si>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</si>
  <si>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Kõik paigalduspinnad peavad olema ühes tasapinnas ja loodis</t>
  </si>
  <si>
    <t>Ylä ja sivukarmien sekä jousipaketin asennuspinnan pitää olla tasaisia ja samassa linjassa</t>
  </si>
  <si>
    <t>Монтажная поверхность должна быть ровной и распологаться в одной вертикальной плоскости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</si>
  <si>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</si>
  <si>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</si>
  <si>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</si>
  <si>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</si>
  <si>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</si>
  <si>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</si>
  <si>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</si>
  <si>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</si>
  <si>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</si>
  <si>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W =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</si>
  <si>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</si>
  <si>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</si>
  <si>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</si>
  <si>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</si>
  <si>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</si>
  <si>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</si>
  <si>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</si>
  <si>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</si>
  <si>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</si>
  <si>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>H =</t>
  </si>
  <si>
    <t>F</t>
  </si>
  <si>
    <t xml:space="preserve">F = </t>
  </si>
  <si>
    <t>A=</t>
  </si>
  <si>
    <t>E</t>
  </si>
  <si>
    <t>H + F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</si>
  <si>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</si>
  <si>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</si>
  <si>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</si>
  <si>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</si>
  <si>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</si>
  <si>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</si>
  <si>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</si>
  <si>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</si>
  <si>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</si>
  <si>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 xml:space="preserve">L = </t>
  </si>
  <si>
    <t>ширина проема</t>
  </si>
  <si>
    <t xml:space="preserve">R = </t>
  </si>
  <si>
    <t>A</t>
  </si>
  <si>
    <t>K.Luňák</t>
  </si>
  <si>
    <t>R. Kříž</t>
  </si>
  <si>
    <t>STP</t>
  </si>
  <si>
    <t>-</t>
  </si>
  <si>
    <t>A3</t>
  </si>
  <si>
    <t>высота проема</t>
  </si>
  <si>
    <t xml:space="preserve">D = </t>
  </si>
  <si>
    <t>http://door-documents.com/en/indy-installation-drawing-ll-dt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</si>
  <si>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</si>
  <si>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</si>
  <si>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</si>
  <si>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</si>
  <si>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</si>
  <si>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</si>
  <si>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</si>
  <si>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>x =</t>
  </si>
  <si>
    <t>S</t>
  </si>
  <si>
    <t>H+1020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</si>
  <si>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</si>
  <si>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</si>
  <si>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</si>
  <si>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</si>
  <si>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</si>
  <si>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</si>
  <si>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</si>
  <si>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</si>
  <si>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</si>
  <si>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Y = 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</si>
  <si>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</si>
  <si>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</si>
  <si>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</si>
  <si>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</si>
  <si>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</si>
  <si>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</si>
  <si>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</si>
  <si>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</si>
  <si>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</si>
  <si>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>S=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</si>
  <si>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</si>
  <si>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</si>
  <si>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</si>
  <si>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</si>
  <si>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</si>
  <si>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</si>
  <si>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</si>
  <si>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</si>
  <si>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</si>
  <si>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</si>
  <si>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</si>
  <si>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</si>
  <si>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</si>
  <si>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</si>
  <si>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</si>
  <si>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</si>
  <si>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</si>
  <si>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</si>
  <si>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Volný prostor vpravo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</si>
  <si>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</si>
  <si>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</si>
  <si>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</si>
  <si>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</si>
  <si>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</si>
  <si>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</si>
  <si>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</si>
  <si>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</si>
  <si>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050-7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</si>
  <si>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</si>
  <si>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</si>
  <si>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</si>
  <si>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</si>
  <si>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</si>
  <si>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</si>
  <si>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</si>
  <si>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</si>
  <si>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</si>
  <si>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</si>
  <si>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</si>
  <si>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</si>
  <si>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</si>
  <si>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</si>
  <si>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</si>
  <si>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</si>
  <si>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</si>
  <si>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</si>
  <si>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</si>
  <si>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</si>
  <si>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</si>
  <si>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</si>
  <si>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</si>
  <si>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</si>
  <si>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</si>
  <si>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</si>
  <si>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</si>
  <si>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</si>
  <si>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 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</si>
  <si>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</si>
  <si>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</si>
  <si>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</si>
  <si>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</si>
  <si>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</si>
  <si>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</si>
  <si>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</si>
  <si>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</si>
  <si>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</si>
  <si>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</si>
  <si>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</si>
  <si>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</si>
  <si>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</si>
  <si>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</si>
  <si>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</si>
  <si>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</si>
  <si>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</si>
  <si>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</si>
  <si>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</si>
  <si>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</si>
  <si>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</si>
  <si>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</si>
  <si>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</si>
  <si>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</si>
  <si>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</si>
  <si>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</si>
  <si>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</si>
  <si>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</si>
  <si>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</si>
  <si>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</si>
  <si>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</si>
  <si>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</si>
  <si>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</si>
  <si>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</si>
  <si>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</si>
  <si>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</si>
  <si>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</si>
  <si>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</si>
  <si>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</si>
  <si>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</si>
  <si>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</si>
  <si>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</si>
  <si>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</si>
  <si>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</si>
  <si>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</si>
  <si>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</si>
  <si>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</si>
  <si>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</si>
  <si>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</si>
  <si>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</si>
  <si>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</si>
  <si>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</si>
  <si>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</si>
  <si>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</si>
  <si>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</si>
  <si>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</si>
  <si>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</si>
  <si>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</si>
  <si>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</si>
  <si>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</si>
  <si>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</si>
  <si>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</si>
  <si>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</si>
  <si>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</si>
  <si>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</si>
  <si>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</si>
  <si>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</si>
  <si>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</si>
  <si>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</si>
  <si>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</si>
  <si>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</si>
  <si>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</si>
  <si>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</si>
  <si>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</si>
  <si>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</si>
  <si>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</si>
  <si>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</si>
  <si>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</si>
  <si>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</si>
  <si>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</si>
  <si>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</si>
  <si>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</si>
  <si>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</si>
  <si>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</si>
  <si>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</si>
  <si>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</si>
  <si>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</si>
  <si>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</si>
  <si>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</si>
  <si>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</si>
  <si>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</si>
  <si>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</si>
  <si>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</si>
  <si>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</si>
  <si>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</si>
  <si>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</si>
  <si>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</si>
  <si>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</si>
  <si>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</si>
  <si>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</si>
  <si>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</si>
  <si>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</si>
  <si>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</si>
  <si>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</si>
  <si>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</si>
  <si>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</si>
  <si>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</si>
  <si>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</si>
  <si>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</si>
  <si>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</si>
  <si>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</si>
  <si>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</si>
  <si>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</si>
  <si>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</si>
  <si>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</si>
  <si>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</si>
  <si>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</si>
  <si>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</si>
  <si>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</si>
  <si>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</si>
  <si>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</si>
  <si>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</si>
  <si>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</si>
  <si>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</si>
  <si>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</si>
  <si>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</si>
  <si>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</si>
  <si>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</si>
  <si>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</si>
  <si>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</si>
  <si>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</si>
  <si>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</si>
  <si>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</si>
  <si>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</si>
  <si>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</si>
  <si>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</si>
  <si>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</si>
  <si>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</si>
  <si>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</si>
  <si>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</si>
  <si>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</si>
  <si>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</si>
  <si>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>STAVEBNÍ PŘIPRAVENOST                       Vedení pro nízký překlad (LL-DT)</t>
  </si>
  <si>
    <t>INSTALLATION DRAWING                            LOW LIFT SYSTEM CABLES INSIDE               (LL-DT)</t>
  </si>
  <si>
    <t>BAUBEREITSCHAFT                           NIEDRIGSTURZ BESCHLAG (LL-DT)</t>
  </si>
  <si>
    <t>PRZYGOTOWANIE KONSTRUKCYJNE                           PROWADZENIE DLA NIESKIEGO NADPROŻA (LL-DT)</t>
  </si>
  <si>
    <t>PLAN DE RESERVATIONS &amp; ENCOMBREMENTS                                      LEVEE REDUITE (LL-DT)</t>
  </si>
  <si>
    <t>Paigaldusjoonis madaltõstele, trossid sees (LL-DT)</t>
  </si>
  <si>
    <t>ASENNUSPIIRUSTUS MATALANOSTO VAIJERIT SISÄLLÄ (LL-DT)</t>
  </si>
  <si>
    <t>МОНТАЖНЫЙ ЧЕРТЕЖ СИСТЕМА С НИЗКИМ ПОДЪЕМОМ, ТРОСЫ ВНУТРИ (LL-DT)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</si>
  <si>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</si>
  <si>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</si>
  <si>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</si>
  <si>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</si>
  <si>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vedrud ava kohal</t>
  </si>
  <si>
    <t>VERTIKÁLNÍ SYSTÉM</t>
  </si>
  <si>
    <t>VERTICAL LIFT SYSTEM</t>
  </si>
  <si>
    <t>VERTIKALER BESCHLAG (VL-T)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</si>
  <si>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</si>
  <si>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</si>
  <si>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</si>
  <si>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</si>
  <si>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</si>
  <si>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</si>
  <si>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</si>
  <si>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</si>
  <si>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</si>
  <si>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</si>
  <si>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</si>
  <si>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</si>
  <si>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</si>
  <si>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</si>
  <si>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</si>
  <si>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</si>
  <si>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</si>
  <si>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</si>
  <si>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</si>
  <si>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</si>
  <si>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</si>
  <si>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</si>
  <si>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</si>
  <si>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</si>
  <si>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</si>
  <si>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</si>
  <si>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</si>
  <si>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</si>
  <si>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</si>
  <si>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</si>
  <si>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</si>
  <si>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</si>
  <si>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</si>
  <si>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</si>
  <si>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</si>
  <si>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</si>
  <si>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</si>
  <si>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</si>
  <si>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</si>
  <si>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</si>
  <si>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</si>
  <si>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</si>
  <si>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</si>
  <si>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</si>
  <si>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</si>
  <si>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</si>
  <si>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</si>
  <si>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</si>
  <si>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</si>
  <si>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</si>
  <si>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</si>
  <si>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</si>
  <si>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</si>
  <si>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</si>
  <si>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</si>
  <si>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</si>
  <si>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</si>
  <si>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</si>
  <si>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</si>
  <si>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</si>
  <si>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</si>
  <si>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</si>
  <si>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</si>
  <si>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</si>
  <si>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haspeklette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</si>
  <si>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</si>
  <si>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</si>
  <si>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</si>
  <si>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</si>
  <si>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</si>
  <si>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</si>
  <si>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řetězovým převodem vlevo</t>
  </si>
  <si>
    <t>hauling chain operated - left</t>
  </si>
  <si>
    <t>Haspelkette - links</t>
  </si>
  <si>
    <t>Łańcuch napędu -  lewy</t>
  </si>
  <si>
    <t>TREUIL A CHAINE - gauche</t>
  </si>
  <si>
    <t>handketting - links</t>
  </si>
  <si>
    <t>taliga - vasakule</t>
  </si>
  <si>
    <t>ketjukäyttöinen - vasen</t>
  </si>
  <si>
    <t xml:space="preserve">цепной привод -  левый
</t>
  </si>
  <si>
    <t>řetězovým převodem vpravo</t>
  </si>
  <si>
    <t>hauling chain operated - right</t>
  </si>
  <si>
    <t>Haspelkette - rechts</t>
  </si>
  <si>
    <t>Łańcuch napędu -  prawy</t>
  </si>
  <si>
    <t>TREUIL A CHAINE - droite</t>
  </si>
  <si>
    <t>handketting - rechts</t>
  </si>
  <si>
    <t>taliga - paremale</t>
  </si>
  <si>
    <t>ketjukäyttöinen - oikea</t>
  </si>
  <si>
    <t>цепной привод -  правая</t>
  </si>
  <si>
    <t>Umístění motoru</t>
  </si>
  <si>
    <t>Possition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</si>
  <si>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</si>
  <si>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</si>
  <si>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</si>
  <si>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</si>
  <si>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</si>
  <si>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</si>
  <si>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</si>
  <si>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Elektricky - motor vlevo</t>
  </si>
  <si>
    <t>electric motor on the left</t>
  </si>
  <si>
    <t>Antrieb - links</t>
  </si>
  <si>
    <t>silnik elektryczny po lewej stronie</t>
  </si>
  <si>
    <t>moteur électrique à gauche</t>
  </si>
  <si>
    <t>elektromotor links</t>
  </si>
  <si>
    <t>elektrimootor vasakul</t>
  </si>
  <si>
    <t>sähkömoottori oikealla</t>
  </si>
  <si>
    <t>электродвигатель слева</t>
  </si>
  <si>
    <t>Elektricky - motor vpravo</t>
  </si>
  <si>
    <t>electric motor on the right</t>
  </si>
  <si>
    <t>Antrieb - rechts</t>
  </si>
  <si>
    <t>silnik elektryczny po prawej stronie</t>
  </si>
  <si>
    <t>moteur électrique à droite</t>
  </si>
  <si>
    <t>elektromotor rechts</t>
  </si>
  <si>
    <t>elektrimootor paremal</t>
  </si>
  <si>
    <t>sähkömoottori vasemmalla</t>
  </si>
  <si>
    <t>электродвигатель справа</t>
  </si>
  <si>
    <t>nezbytný boční prostor</t>
  </si>
  <si>
    <t xml:space="preserve">necessary side room </t>
  </si>
  <si>
    <t xml:space="preserve">Benötigter Freiraum </t>
  </si>
  <si>
    <t xml:space="preserve">niezbędna przestrzeń boczna </t>
  </si>
  <si>
    <t xml:space="preserve">écoinçon minimum requis </t>
  </si>
  <si>
    <t>Vajalik küljeruum</t>
  </si>
  <si>
    <t>tarvittava sivutila</t>
  </si>
  <si>
    <t>необходимое боковое пространство</t>
  </si>
  <si>
    <t>Strana bez motoru</t>
  </si>
  <si>
    <t>No motor/chain</t>
  </si>
  <si>
    <t>Seine ohne Antrieb</t>
  </si>
  <si>
    <t>Strona bez silnika</t>
  </si>
  <si>
    <t>Cote oppose au treuil a chaine</t>
  </si>
  <si>
    <t>ilma mootorita/talita</t>
  </si>
  <si>
    <t>Ei mootoria/ketjua</t>
  </si>
  <si>
    <t>сторона без мотора/цепи</t>
  </si>
  <si>
    <t>Vrata s motorem nebo řetězovým převodem musí obsahovat napínací set 688CR (pro zpětné stahování vrat), který se montuje vždy na pravo (nezáleží na umístění motoru)</t>
  </si>
  <si>
    <t>Motor- or hauling chain operated door must be equipped with tension set  688CR (for closing door), which is fitted always on right side (depends not where is motor/hauling chain)</t>
  </si>
  <si>
    <t>Tore mit Antrieb oder Hanspelkettenantrieb müssen Seilspannvorrichtung (für Zurückziehung) der ist immer rechts montiert (es ist nicht wichtig wo Antrieb montiert ist) enthalten.</t>
  </si>
  <si>
    <t>Brama z silnikiem lub z przekładnią łańcuchową musi zawierać zestaw naprężający 688CR (do zamykania bramy), który montowany jest zawsze po prawej stronie (niezależnie od umieszczenia silnika).</t>
  </si>
  <si>
    <t xml:space="preserve"> La porte motorisée avec transmission par chaîne doit contenir un set de tension  688CR (pour faciliter la manoeuvre de la porte), qui doit toujours etre  monté a droite (cela ne dépend pas de l'emplacement du moteur).</t>
  </si>
  <si>
    <t xml:space="preserve">Mootoriga või taliga avatav uks peab olema varustatud trossipingutuskomplektiga 688CR, mis paigaldatakse alati paremale poole </t>
  </si>
  <si>
    <t xml:space="preserve">Moottori- tai ketjukäyttöinen ovi on varustettava kiristyssarjalla 688CR (sulkeutuvalle ovelle) joka soveltu aina oikealle puolelle (riippumatta kummalla puolella on </t>
  </si>
  <si>
    <t>Система обратной тяги всегда располагается с правой стороны, вне зависимости от места нахождения электропривода/цепного редуктора. При ручном управлении не применяется.</t>
  </si>
  <si>
    <t>Úhel sklonu střechy</t>
  </si>
  <si>
    <t>Gradient of the roof</t>
  </si>
  <si>
    <t>Deckenwinkel</t>
  </si>
  <si>
    <t>PENTE DU TOIT</t>
  </si>
  <si>
    <t>Katusekalle</t>
  </si>
  <si>
    <t>Katon kaltevuus</t>
  </si>
  <si>
    <t>Оцинкованный профиль 80х40х2 мм (в комплекте) должен быть закреплен на потолке минимум в трех точках (2 точки для ворот менее 10м²)</t>
  </si>
  <si>
    <t>Kotvící body pro jekl</t>
  </si>
  <si>
    <t>Hanging point for sleeves</t>
  </si>
  <si>
    <t>Aufhängepunkt für Vierkantrohr</t>
  </si>
  <si>
    <t>Punkt mocowania dla profilu zamkn</t>
  </si>
  <si>
    <t xml:space="preserve">POINT D'ANCRAG POUR FIXATION DU TUBE </t>
  </si>
  <si>
    <t>Nelikanttoru kinnituskoht</t>
  </si>
  <si>
    <t>riiputuspiste holkille</t>
  </si>
  <si>
    <t>ТРОСЫ ВНУТРИ</t>
  </si>
  <si>
    <t>Jekl 80x40x2 (pozink) je součástí dodávky. Musí se pevně přikotvit ke stropu minimálně na 3 místech (u vrat do 10m2 stačí na 2 místech)</t>
  </si>
  <si>
    <t>Galvanized sleeve 80x40x2 is included. Sleeve must be attached to ceiling at minimum 3 points (2 points for door under 10 m2).</t>
  </si>
  <si>
    <t>Rechteckigerohre 80x40x2 (verzinkt) ist ein Lieferungsbestandteil. Er muss fest an die Decke in drei Punkten befestigt werden, (beim Torblatt bis 10 m2 reichen 2 Punkte).</t>
  </si>
  <si>
    <t>Profil zamknięty 80x40x2 (ocynkowany) stanowi część składową dostawy. Musi zostać mocno zamocowany do stropu. Minimalnie w trzech miejscach, (w wypadku bramy do 10 m2 wystarczy w dwóch miejscach)</t>
  </si>
  <si>
    <t xml:space="preserve">Le tube de 80x40x2 en acier galvanisé est compris dans la livraison. II doi bien entre fixé au plafond par au minimum 3 points de fixation (pour les portes jusqu a d 10 m2, 2 point the fixation suffisent). </t>
  </si>
  <si>
    <t>80x40x2 galvaniseeritud toru sisaldub tarnes. Toru kinnitatakse lakke minimaalselt kolmes kohas (2 kinnituskoha ustel alla 10m2)</t>
  </si>
  <si>
    <t>Galvanoitu holkki 80x40x2 sisältyy. Holkki on kiinnitetty kattoon vähintään 3sta pistestä (2 pistettä ovella alle 10 m2).</t>
  </si>
  <si>
    <t>LANKA UVNITŘ</t>
  </si>
  <si>
    <t>CABLES INSIDE</t>
  </si>
  <si>
    <t>Trossid sees</t>
  </si>
  <si>
    <t>vaijerit SISÄLLÄ</t>
  </si>
  <si>
    <t xml:space="preserve">ТРОСЫ ВНУТРИ 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</si>
  <si>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</si>
  <si>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</si>
  <si>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</si>
  <si>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</si>
  <si>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</si>
  <si>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</si>
  <si>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</si>
  <si>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</si>
  <si>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</si>
  <si>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</si>
  <si>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</si>
  <si>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</si>
  <si>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</si>
  <si>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</si>
  <si>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</si>
  <si>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>Strana motoru</t>
  </si>
  <si>
    <t xml:space="preserve">Motor side </t>
  </si>
  <si>
    <t xml:space="preserve">Antriebseite </t>
  </si>
  <si>
    <t xml:space="preserve">Strona silnika </t>
  </si>
  <si>
    <t xml:space="preserve">Côté moteur </t>
  </si>
  <si>
    <t xml:space="preserve">Motorzijde </t>
  </si>
  <si>
    <t xml:space="preserve">Mootori pool </t>
  </si>
  <si>
    <t xml:space="preserve">Moottorin puoli </t>
  </si>
  <si>
    <t xml:space="preserve">Сторона двигателя </t>
  </si>
  <si>
    <t>Druhá strana</t>
  </si>
  <si>
    <t>Other side</t>
  </si>
  <si>
    <t xml:space="preserve">Andere Seite </t>
  </si>
  <si>
    <t xml:space="preserve">Druga strona </t>
  </si>
  <si>
    <t xml:space="preserve">Autre côté </t>
  </si>
  <si>
    <t xml:space="preserve">Andere kant </t>
  </si>
  <si>
    <t xml:space="preserve">Teine pool </t>
  </si>
  <si>
    <t xml:space="preserve">Muu puoli </t>
  </si>
  <si>
    <t xml:space="preserve">Другая сторона </t>
  </si>
  <si>
    <t>Nabídka/Objednávka:</t>
  </si>
  <si>
    <t>Offer/Order:</t>
  </si>
  <si>
    <t>Angebot/Bestellung:</t>
  </si>
  <si>
    <t>Oferta/Zamówienie:</t>
  </si>
  <si>
    <t>Offre/Commande:</t>
  </si>
  <si>
    <t>Offerte/Order:</t>
  </si>
  <si>
    <t>Pakkumine/tellimus:</t>
  </si>
  <si>
    <t>Tarjous/Tilaus:</t>
  </si>
  <si>
    <t>Предложение/заказ:</t>
  </si>
  <si>
    <t>Pozice:</t>
  </si>
  <si>
    <t>Position:</t>
  </si>
  <si>
    <t>Pozycje:</t>
  </si>
  <si>
    <t>Positions:</t>
  </si>
  <si>
    <t>Positie:</t>
  </si>
  <si>
    <t>Ametikohad:</t>
  </si>
  <si>
    <t>Työpaikat:</t>
  </si>
  <si>
    <t>Позиции:</t>
  </si>
  <si>
    <t>Pomocné výpočty</t>
  </si>
  <si>
    <t>L=</t>
  </si>
  <si>
    <t>R=</t>
  </si>
  <si>
    <t>W=</t>
  </si>
  <si>
    <t xml:space="preserve">L+ W + R = </t>
  </si>
  <si>
    <t xml:space="preserve">HL </t>
  </si>
  <si>
    <t>HL 4100</t>
  </si>
  <si>
    <t>Leva strana dole</t>
  </si>
  <si>
    <t>Pravo dole</t>
  </si>
  <si>
    <t>40/80mm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</si>
</sst>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rgb="FFFFAE5D"/>
      <name val="Calibri"/>
      <family val="2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sz val="12"/>
      <color rgb="FFFFAE5D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2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Arial Unicode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/>
    <xf numFmtId="0" fontId="4" fillId="0" borderId="0" xfId="0" applyFont="1"/>
    <xf numFmtId="0" fontId="0" fillId="4" borderId="0" xfId="0" applyFill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3" borderId="0" xfId="0" applyFont="1" applyFill="1"/>
    <xf numFmtId="0" fontId="7" fillId="0" borderId="0" xfId="0" applyFont="1"/>
    <xf numFmtId="0" fontId="8" fillId="0" borderId="0" xfId="0" applyFont="1"/>
    <xf numFmtId="0" fontId="0" fillId="0" borderId="11" xfId="0" applyBorder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right"/>
    </xf>
    <xf numFmtId="1" fontId="9" fillId="0" borderId="0" xfId="0" applyNumberFormat="1" applyFont="1" applyAlignment="1">
      <alignment horizontal="left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9" fillId="0" borderId="12" xfId="0" applyFont="1" applyBorder="1" applyAlignment="1">
      <alignment horizontal="left" vertical="center" textRotation="90"/>
    </xf>
    <xf numFmtId="0" fontId="9" fillId="0" borderId="0" xfId="0" applyFont="1" applyAlignment="1">
      <alignment vertical="center" textRotation="90"/>
    </xf>
    <xf numFmtId="0" fontId="10" fillId="0" borderId="0" xfId="0" applyFont="1" applyAlignment="1">
      <alignment horizontal="left"/>
    </xf>
    <xf numFmtId="0" fontId="10" fillId="0" borderId="0" xfId="0" applyFont="1"/>
    <xf numFmtId="0" fontId="8" fillId="0" borderId="0" xfId="0" applyFont="1" applyAlignment="1">
      <alignment horizontal="left" indent="3"/>
    </xf>
    <xf numFmtId="0" fontId="9" fillId="0" borderId="0" xfId="0" applyFont="1" applyAlignment="1">
      <alignment textRotation="90"/>
    </xf>
    <xf numFmtId="0" fontId="8" fillId="0" borderId="0" xfId="0" applyFont="1" applyAlignment="1">
      <alignment horizontal="left" vertical="top" indent="4"/>
    </xf>
    <xf numFmtId="0" fontId="0" fillId="0" borderId="0" xfId="0" applyAlignment="1">
      <alignment horizontal="left" indent="3"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0" borderId="12" xfId="0" applyBorder="1" applyAlignment="1">
      <alignment horizontal="right"/>
    </xf>
    <xf numFmtId="0" fontId="10" fillId="0" borderId="0" xfId="0" applyFont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0" xfId="0" applyFont="1" applyAlignment="1">
      <alignment horizontal="left" vertical="top"/>
    </xf>
    <xf numFmtId="0" fontId="9" fillId="0" borderId="12" xfId="0" applyFont="1" applyBorder="1" applyAlignment="1">
      <alignment horizontal="right" vertical="center" textRotation="90"/>
    </xf>
    <xf numFmtId="0" fontId="10" fillId="0" borderId="0" xfId="0" applyFont="1" applyAlignment="1">
      <alignment vertical="center" textRotation="90"/>
    </xf>
    <xf numFmtId="0" fontId="1" fillId="0" borderId="0" xfId="0" applyFont="1"/>
    <xf numFmtId="0" fontId="8" fillId="0" borderId="12" xfId="0" applyFont="1" applyBorder="1"/>
    <xf numFmtId="0" fontId="14" fillId="0" borderId="12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5" xfId="0" applyBorder="1" applyAlignment="1">
      <alignment horizontal="center"/>
    </xf>
    <xf numFmtId="0" fontId="0" fillId="3" borderId="14" xfId="0" applyFill="1" applyBorder="1"/>
    <xf numFmtId="0" fontId="0" fillId="3" borderId="1" xfId="0" applyFill="1" applyBorder="1"/>
    <xf numFmtId="0" fontId="0" fillId="3" borderId="11" xfId="0" applyFill="1" applyBorder="1"/>
    <xf numFmtId="0" fontId="15" fillId="0" borderId="0" xfId="0" applyFont="1" applyAlignment="1">
      <alignment horizontal="right"/>
    </xf>
    <xf numFmtId="0" fontId="6" fillId="0" borderId="11" xfId="0" applyFont="1" applyBorder="1"/>
    <xf numFmtId="0" fontId="15" fillId="0" borderId="11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8" xfId="0" applyNumberFormat="1" applyBorder="1"/>
    <xf numFmtId="0" fontId="0" fillId="0" borderId="16" xfId="0" applyBorder="1" applyAlignment="1">
      <alignment horizontal="center"/>
    </xf>
    <xf numFmtId="0" fontId="16" fillId="0" borderId="14" xfId="0" applyFont="1" applyBorder="1"/>
    <xf numFmtId="0" fontId="0" fillId="0" borderId="14" xfId="0" applyBorder="1" applyAlignment="1">
      <alignment horizontal="center"/>
    </xf>
    <xf numFmtId="0" fontId="0" fillId="6" borderId="13" xfId="0" applyFill="1" applyBorder="1"/>
    <xf numFmtId="0" fontId="18" fillId="6" borderId="14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3" borderId="13" xfId="0" applyFill="1" applyBorder="1"/>
    <xf numFmtId="0" fontId="6" fillId="0" borderId="14" xfId="0" applyFont="1" applyBorder="1"/>
    <xf numFmtId="0" fontId="19" fillId="0" borderId="14" xfId="0" applyFont="1" applyBorder="1"/>
    <xf numFmtId="0" fontId="0" fillId="0" borderId="15" xfId="0" applyBorder="1"/>
    <xf numFmtId="0" fontId="20" fillId="0" borderId="14" xfId="0" applyFont="1" applyBorder="1"/>
    <xf numFmtId="0" fontId="16" fillId="0" borderId="1" xfId="0" applyFont="1" applyBorder="1" applyAlignment="1">
      <alignment horizontal="right"/>
    </xf>
    <xf numFmtId="1" fontId="0" fillId="0" borderId="11" xfId="0" applyNumberFormat="1" applyBorder="1"/>
    <xf numFmtId="0" fontId="0" fillId="0" borderId="17" xfId="0" applyBorder="1"/>
    <xf numFmtId="0" fontId="6" fillId="0" borderId="1" xfId="0" applyFont="1" applyBorder="1"/>
    <xf numFmtId="1" fontId="0" fillId="0" borderId="16" xfId="0" applyNumberForma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2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2" fillId="0" borderId="0" xfId="0" applyFont="1"/>
    <xf numFmtId="0" fontId="0" fillId="7" borderId="0" xfId="0" applyFill="1"/>
    <xf numFmtId="0" fontId="12" fillId="0" borderId="2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12" xfId="0" applyFont="1" applyBorder="1"/>
    <xf numFmtId="0" fontId="12" fillId="0" borderId="4" xfId="0" applyFont="1" applyBorder="1"/>
    <xf numFmtId="0" fontId="0" fillId="0" borderId="6" xfId="0" applyBorder="1"/>
    <xf numFmtId="0" fontId="0" fillId="0" borderId="0" xfId="0" applyProtection="1">
      <protection locked="0"/>
    </xf>
    <xf numFmtId="0" fontId="0" fillId="0" borderId="22" xfId="0" applyBorder="1"/>
    <xf numFmtId="0" fontId="0" fillId="0" borderId="23" xfId="0" applyBorder="1"/>
    <xf numFmtId="0" fontId="15" fillId="0" borderId="22" xfId="0" applyFont="1" applyBorder="1" applyAlignment="1">
      <alignment horizontal="left"/>
    </xf>
    <xf numFmtId="0" fontId="6" fillId="0" borderId="22" xfId="0" applyFont="1" applyBorder="1"/>
    <xf numFmtId="0" fontId="15" fillId="0" borderId="22" xfId="0" applyFont="1" applyBorder="1"/>
    <xf numFmtId="0" fontId="12" fillId="0" borderId="22" xfId="0" applyFont="1" applyBorder="1" applyAlignment="1">
      <alignment horizontal="left"/>
    </xf>
    <xf numFmtId="0" fontId="15" fillId="0" borderId="0" xfId="0" applyFon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3" fillId="0" borderId="0" xfId="0" applyFont="1"/>
    <xf numFmtId="0" fontId="0" fillId="0" borderId="27" xfId="0" applyBorder="1"/>
    <xf numFmtId="0" fontId="0" fillId="0" borderId="0" xfId="0" applyAlignment="1">
      <alignment vertical="center" textRotation="90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18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 vertical="center" wrapText="1" shrinkToFit="1"/>
    </xf>
    <xf numFmtId="0" fontId="17" fillId="0" borderId="16" xfId="0" applyFont="1" applyBorder="1" applyAlignment="1">
      <alignment horizontal="center" vertical="center" wrapText="1" shrinkToFit="1"/>
    </xf>
    <xf numFmtId="0" fontId="0" fillId="6" borderId="14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8" fillId="5" borderId="0" xfId="0" applyFont="1" applyFill="1" applyAlignment="1" applyProtection="1">
      <alignment horizontal="left" vertical="center"/>
      <protection locked="0"/>
    </xf>
    <xf numFmtId="0" fontId="9" fillId="0" borderId="12" xfId="0" applyFont="1" applyBorder="1" applyAlignment="1">
      <alignment horizontal="right" vertical="center" textRotation="90"/>
    </xf>
    <xf numFmtId="0" fontId="8" fillId="5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9" fillId="0" borderId="12" xfId="0" applyFont="1" applyBorder="1" applyAlignment="1">
      <alignment horizontal="center" textRotation="90"/>
    </xf>
    <xf numFmtId="0" fontId="9" fillId="0" borderId="0" xfId="0" applyFont="1" applyAlignment="1">
      <alignment horizontal="left" vertical="center" textRotation="90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top" textRotation="90"/>
    </xf>
    <xf numFmtId="0" fontId="9" fillId="0" borderId="0" xfId="0" applyFont="1" applyAlignment="1">
      <alignment horizontal="left" textRotation="90"/>
    </xf>
    <xf numFmtId="0" fontId="9" fillId="0" borderId="0" xfId="0" applyFont="1" applyAlignment="1">
      <alignment horizontal="right" vertical="top" textRotation="90"/>
    </xf>
    <xf numFmtId="0" fontId="9" fillId="0" borderId="0" xfId="0" applyFont="1" applyAlignment="1">
      <alignment horizontal="center" textRotation="90"/>
    </xf>
    <xf numFmtId="0" fontId="13" fillId="0" borderId="0" xfId="0" applyFont="1" applyAlignment="1">
      <alignment horizontal="left" vertical="center" wrapText="1" indent="4"/>
    </xf>
    <xf numFmtId="0" fontId="9" fillId="0" borderId="0" xfId="0" applyFont="1" applyAlignment="1">
      <alignment horizontal="right" vertical="center" textRotation="90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top" textRotation="90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1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Fill="1" applyAlignment="1">
      <alignment horizont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textRotation="9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Standard" xfId="0" builtinId="0"/>
  </cellStyles>
  <dxfs count="1"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emf"/><Relationship Id="rId5" Type="http://schemas.openxmlformats.org/officeDocument/2006/relationships/image" Target="../media/image5.png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PNG"/><Relationship Id="rId1" Type="http://schemas.openxmlformats.org/officeDocument/2006/relationships/image" Target="../media/image15.jpg"/><Relationship Id="rId5" Type="http://schemas.openxmlformats.org/officeDocument/2006/relationships/image" Target="../media/image19.PNG"/><Relationship Id="rId4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295274</xdr:colOff>
          <xdr:row>13</xdr:row>
          <xdr:rowOff>180975</xdr:rowOff>
        </xdr:from>
        <xdr:to>
          <xdr:col>8</xdr:col>
          <xdr:colOff>431242</xdr:colOff>
          <xdr:row>35</xdr:row>
          <xdr:rowOff>123825</xdr:rowOff>
        </xdr:to>
        <xdr:pic>
          <xdr:nvPicPr>
            <xdr:cNvPr id="2" name="Obrázek 1">
              <a:extLst>
                <a:ext uri="{FF2B5EF4-FFF2-40B4-BE49-F238E27FC236}">
                  <a16:creationId xmlns:a16="http://schemas.microsoft.com/office/drawing/2014/main" id="{44A4BB04-0B11-49DB-98E9-02DA87EE202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otor" spid="_x0000_s10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78154" y="3221355"/>
              <a:ext cx="4974668" cy="496443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11</xdr:col>
      <xdr:colOff>190500</xdr:colOff>
      <xdr:row>9</xdr:row>
      <xdr:rowOff>209550</xdr:rowOff>
    </xdr:from>
    <xdr:to>
      <xdr:col>18</xdr:col>
      <xdr:colOff>590550</xdr:colOff>
      <xdr:row>34</xdr:row>
      <xdr:rowOff>123825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1187E23C-AF25-4B23-9C9D-A9E4208FB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420" y="2320290"/>
          <a:ext cx="5398770" cy="5682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38</xdr:row>
      <xdr:rowOff>171450</xdr:rowOff>
    </xdr:from>
    <xdr:to>
      <xdr:col>7</xdr:col>
      <xdr:colOff>552450</xdr:colOff>
      <xdr:row>45</xdr:row>
      <xdr:rowOff>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1B540FF5-66EF-47D7-8F31-7559CFE50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" y="8843010"/>
          <a:ext cx="4215765" cy="1283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144780</xdr:colOff>
      <xdr:row>64</xdr:row>
      <xdr:rowOff>1905</xdr:rowOff>
    </xdr:from>
    <xdr:to>
      <xdr:col>19</xdr:col>
      <xdr:colOff>525780</xdr:colOff>
      <xdr:row>68</xdr:row>
      <xdr:rowOff>150495</xdr:rowOff>
    </xdr:to>
    <xdr:pic>
      <xdr:nvPicPr>
        <xdr:cNvPr id="5" name="Obrázek 1">
          <a:extLst>
            <a:ext uri="{FF2B5EF4-FFF2-40B4-BE49-F238E27FC236}">
              <a16:creationId xmlns:a16="http://schemas.microsoft.com/office/drawing/2014/main" id="{75F25B90-1838-43DF-B398-0C3747374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" t="8333" r="6667" b="7500"/>
        <a:stretch>
          <a:fillRect/>
        </a:stretch>
      </xdr:blipFill>
      <xdr:spPr bwMode="auto">
        <a:xfrm>
          <a:off x="13266420" y="13816965"/>
          <a:ext cx="9906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114300</xdr:colOff>
      <xdr:row>6</xdr:row>
      <xdr:rowOff>180975</xdr:rowOff>
    </xdr:from>
    <xdr:to>
      <xdr:col>26</xdr:col>
      <xdr:colOff>600075</xdr:colOff>
      <xdr:row>20</xdr:row>
      <xdr:rowOff>190500</xdr:rowOff>
    </xdr:to>
    <xdr:grpSp>
      <xdr:nvGrpSpPr>
        <xdr:cNvPr id="6" name="Skupina 104">
          <a:extLst>
            <a:ext uri="{FF2B5EF4-FFF2-40B4-BE49-F238E27FC236}">
              <a16:creationId xmlns:a16="http://schemas.microsoft.com/office/drawing/2014/main" id="{0DEF5D1F-1D0F-44F6-AEFF-9FB543C20D7A}"/>
            </a:ext>
          </a:extLst>
        </xdr:cNvPr>
        <xdr:cNvGrpSpPr>
          <a:grpSpLocks/>
        </xdr:cNvGrpSpPr>
      </xdr:nvGrpSpPr>
      <xdr:grpSpPr bwMode="auto">
        <a:xfrm>
          <a:off x="13532644" y="1633538"/>
          <a:ext cx="5105400" cy="3248025"/>
          <a:chOff x="13263563" y="1690689"/>
          <a:chExt cx="5195899" cy="3095626"/>
        </a:xfrm>
      </xdr:grpSpPr>
      <xdr:pic>
        <xdr:nvPicPr>
          <xdr:cNvPr id="7" name="Picture 1851">
            <a:extLst>
              <a:ext uri="{FF2B5EF4-FFF2-40B4-BE49-F238E27FC236}">
                <a16:creationId xmlns:a16="http://schemas.microsoft.com/office/drawing/2014/main" id="{B6042DDF-80C9-53D5-A854-0E988055C1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63563" y="1690689"/>
            <a:ext cx="5195899" cy="30956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8" name="Skupina 10">
            <a:extLst>
              <a:ext uri="{FF2B5EF4-FFF2-40B4-BE49-F238E27FC236}">
                <a16:creationId xmlns:a16="http://schemas.microsoft.com/office/drawing/2014/main" id="{19EBBBA6-F561-1C28-3B79-FA81E17AA5EA}"/>
              </a:ext>
            </a:extLst>
          </xdr:cNvPr>
          <xdr:cNvGrpSpPr>
            <a:grpSpLocks/>
          </xdr:cNvGrpSpPr>
        </xdr:nvGrpSpPr>
        <xdr:grpSpPr bwMode="auto">
          <a:xfrm>
            <a:off x="15765300" y="3720454"/>
            <a:ext cx="823989" cy="824882"/>
            <a:chOff x="15870446" y="3871767"/>
            <a:chExt cx="804027" cy="772400"/>
          </a:xfrm>
        </xdr:grpSpPr>
        <xdr:sp macro="" textlink="">
          <xdr:nvSpPr>
            <xdr:cNvPr id="9" name="Ovál 8">
              <a:extLst>
                <a:ext uri="{FF2B5EF4-FFF2-40B4-BE49-F238E27FC236}">
                  <a16:creationId xmlns:a16="http://schemas.microsoft.com/office/drawing/2014/main" id="{2CAF4A81-F107-CAD5-E88B-176F551E26B3}"/>
                </a:ext>
              </a:extLst>
            </xdr:cNvPr>
            <xdr:cNvSpPr/>
          </xdr:nvSpPr>
          <xdr:spPr>
            <a:xfrm>
              <a:off x="15870089" y="4004539"/>
              <a:ext cx="631397" cy="640303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10" name="TextovéPole 9">
              <a:extLst>
                <a:ext uri="{FF2B5EF4-FFF2-40B4-BE49-F238E27FC236}">
                  <a16:creationId xmlns:a16="http://schemas.microsoft.com/office/drawing/2014/main" id="{B5AB689D-52F6-12A8-3B27-AFE42C30ACC8}"/>
                </a:ext>
              </a:extLst>
            </xdr:cNvPr>
            <xdr:cNvSpPr txBox="1"/>
          </xdr:nvSpPr>
          <xdr:spPr>
            <a:xfrm>
              <a:off x="16482638" y="3874748"/>
              <a:ext cx="188477" cy="224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twoCellAnchor>
    <xdr:from>
      <xdr:col>9</xdr:col>
      <xdr:colOff>114300</xdr:colOff>
      <xdr:row>38</xdr:row>
      <xdr:rowOff>47625</xdr:rowOff>
    </xdr:from>
    <xdr:to>
      <xdr:col>11</xdr:col>
      <xdr:colOff>285750</xdr:colOff>
      <xdr:row>48</xdr:row>
      <xdr:rowOff>38100</xdr:rowOff>
    </xdr:to>
    <xdr:grpSp>
      <xdr:nvGrpSpPr>
        <xdr:cNvPr id="11" name="Skupina 9">
          <a:extLst>
            <a:ext uri="{FF2B5EF4-FFF2-40B4-BE49-F238E27FC236}">
              <a16:creationId xmlns:a16="http://schemas.microsoft.com/office/drawing/2014/main" id="{3D8AF583-F9C1-4845-9AF6-2DD01AD9E65C}"/>
            </a:ext>
          </a:extLst>
        </xdr:cNvPr>
        <xdr:cNvGrpSpPr>
          <a:grpSpLocks/>
        </xdr:cNvGrpSpPr>
      </xdr:nvGrpSpPr>
      <xdr:grpSpPr bwMode="auto">
        <a:xfrm>
          <a:off x="6115050" y="8953500"/>
          <a:ext cx="2124075" cy="2062163"/>
          <a:chOff x="5595714" y="8462506"/>
          <a:chExt cx="2207432" cy="2483472"/>
        </a:xfrm>
      </xdr:grpSpPr>
      <xdr:pic>
        <xdr:nvPicPr>
          <xdr:cNvPr id="12" name="Obrázek 5">
            <a:extLst>
              <a:ext uri="{FF2B5EF4-FFF2-40B4-BE49-F238E27FC236}">
                <a16:creationId xmlns:a16="http://schemas.microsoft.com/office/drawing/2014/main" id="{F5C9ED4B-704A-7B3C-83D1-8178A4DD59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5714" y="8924560"/>
            <a:ext cx="2065529" cy="2021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xtovéPole 12">
            <a:extLst>
              <a:ext uri="{FF2B5EF4-FFF2-40B4-BE49-F238E27FC236}">
                <a16:creationId xmlns:a16="http://schemas.microsoft.com/office/drawing/2014/main" id="{1DA4959B-9BEF-2F3B-5C93-3B8D05922CF8}"/>
              </a:ext>
            </a:extLst>
          </xdr:cNvPr>
          <xdr:cNvSpPr txBox="1"/>
        </xdr:nvSpPr>
        <xdr:spPr>
          <a:xfrm>
            <a:off x="6932052" y="8462506"/>
            <a:ext cx="871094" cy="71616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3200"/>
              <a:t>B</a:t>
            </a:r>
          </a:p>
        </xdr:txBody>
      </xdr:sp>
      <xdr:pic>
        <xdr:nvPicPr>
          <xdr:cNvPr id="14" name="Obrázek 8">
            <a:extLst>
              <a:ext uri="{FF2B5EF4-FFF2-40B4-BE49-F238E27FC236}">
                <a16:creationId xmlns:a16="http://schemas.microsoft.com/office/drawing/2014/main" id="{ECD10CC2-A871-3A1B-7736-966A46EAC0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3108" y="9243929"/>
            <a:ext cx="2201956" cy="1632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21</xdr:col>
      <xdr:colOff>352425</xdr:colOff>
      <xdr:row>20</xdr:row>
      <xdr:rowOff>161925</xdr:rowOff>
    </xdr:from>
    <xdr:to>
      <xdr:col>23</xdr:col>
      <xdr:colOff>447675</xdr:colOff>
      <xdr:row>36</xdr:row>
      <xdr:rowOff>142875</xdr:rowOff>
    </xdr:to>
    <xdr:pic>
      <xdr:nvPicPr>
        <xdr:cNvPr id="15" name="Picture 2045">
          <a:extLst>
            <a:ext uri="{FF2B5EF4-FFF2-40B4-BE49-F238E27FC236}">
              <a16:creationId xmlns:a16="http://schemas.microsoft.com/office/drawing/2014/main" id="{E35234C5-F751-43F3-8D78-57252780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9545" y="4703445"/>
          <a:ext cx="1436370" cy="3684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504825</xdr:colOff>
      <xdr:row>45</xdr:row>
      <xdr:rowOff>0</xdr:rowOff>
    </xdr:from>
    <xdr:to>
      <xdr:col>16</xdr:col>
      <xdr:colOff>590550</xdr:colOff>
      <xdr:row>46</xdr:row>
      <xdr:rowOff>57150</xdr:rowOff>
    </xdr:to>
    <xdr:pic>
      <xdr:nvPicPr>
        <xdr:cNvPr id="16" name="Picture 250">
          <a:extLst>
            <a:ext uri="{FF2B5EF4-FFF2-40B4-BE49-F238E27FC236}">
              <a16:creationId xmlns:a16="http://schemas.microsoft.com/office/drawing/2014/main" id="{C2482E1B-D077-4E76-AC32-842864AF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10126980"/>
          <a:ext cx="80962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28575</xdr:colOff>
      <xdr:row>45</xdr:row>
      <xdr:rowOff>28575</xdr:rowOff>
    </xdr:from>
    <xdr:to>
      <xdr:col>23</xdr:col>
      <xdr:colOff>28575</xdr:colOff>
      <xdr:row>46</xdr:row>
      <xdr:rowOff>47625</xdr:rowOff>
    </xdr:to>
    <xdr:pic>
      <xdr:nvPicPr>
        <xdr:cNvPr id="17" name="Picture 251">
          <a:extLst>
            <a:ext uri="{FF2B5EF4-FFF2-40B4-BE49-F238E27FC236}">
              <a16:creationId xmlns:a16="http://schemas.microsoft.com/office/drawing/2014/main" id="{F46797AB-F160-46ED-9786-623E700E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5295" y="10155555"/>
          <a:ext cx="73152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0</xdr:colOff>
      <xdr:row>114</xdr:row>
      <xdr:rowOff>0</xdr:rowOff>
    </xdr:from>
    <xdr:to>
      <xdr:col>49</xdr:col>
      <xdr:colOff>9525</xdr:colOff>
      <xdr:row>114</xdr:row>
      <xdr:rowOff>9525</xdr:rowOff>
    </xdr:to>
    <xdr:sp macro="" textlink="">
      <xdr:nvSpPr>
        <xdr:cNvPr id="18" name="Object 248" hidden="1">
          <a:extLst>
            <a:ext uri="{63B3BB69-23CF-44E3-9099-C40C66FF867C}">
              <a14:compatExt xmlns:a14="http://schemas.microsoft.com/office/drawing/2010/main" spid="_x0000_s1272"/>
            </a:ext>
            <a:ext uri="{FF2B5EF4-FFF2-40B4-BE49-F238E27FC236}">
              <a16:creationId xmlns:a16="http://schemas.microsoft.com/office/drawing/2014/main" id="{46990ACA-3251-4B85-8DB5-C73FD11D616C}"/>
            </a:ext>
          </a:extLst>
        </xdr:cNvPr>
        <xdr:cNvSpPr/>
      </xdr:nvSpPr>
      <xdr:spPr bwMode="auto">
        <a:xfrm>
          <a:off x="19987260" y="23332440"/>
          <a:ext cx="9525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16</xdr:row>
      <xdr:rowOff>9525</xdr:rowOff>
    </xdr:from>
    <xdr:to>
      <xdr:col>11</xdr:col>
      <xdr:colOff>238125</xdr:colOff>
      <xdr:row>18</xdr:row>
      <xdr:rowOff>180975</xdr:rowOff>
    </xdr:to>
    <xdr:cxnSp macro="">
      <xdr:nvCxnSpPr>
        <xdr:cNvPr id="19" name="Přímá spojnice se šipkou 18">
          <a:extLst>
            <a:ext uri="{FF2B5EF4-FFF2-40B4-BE49-F238E27FC236}">
              <a16:creationId xmlns:a16="http://schemas.microsoft.com/office/drawing/2014/main" id="{3D32ACB9-5C6B-416D-963D-3FC9F00CFCF1}"/>
            </a:ext>
          </a:extLst>
        </xdr:cNvPr>
        <xdr:cNvCxnSpPr/>
      </xdr:nvCxnSpPr>
      <xdr:spPr>
        <a:xfrm flipV="1">
          <a:off x="7545705" y="3613785"/>
          <a:ext cx="815340" cy="552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180975</xdr:colOff>
      <xdr:row>33</xdr:row>
      <xdr:rowOff>133350</xdr:rowOff>
    </xdr:from>
    <xdr:ext cx="1009650" cy="264560"/>
    <xdr:sp macro="" textlink="$F$57">
      <xdr:nvSpPr>
        <xdr:cNvPr id="20" name="TextovéPole 19">
          <a:extLst>
            <a:ext uri="{FF2B5EF4-FFF2-40B4-BE49-F238E27FC236}">
              <a16:creationId xmlns:a16="http://schemas.microsoft.com/office/drawing/2014/main" id="{FD99FC3A-00EF-47B3-ADB6-FDEDDD74D5A1}"/>
            </a:ext>
          </a:extLst>
        </xdr:cNvPr>
        <xdr:cNvSpPr txBox="1"/>
      </xdr:nvSpPr>
      <xdr:spPr>
        <a:xfrm>
          <a:off x="2489835" y="7829550"/>
          <a:ext cx="1009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FA83F1D4-9D4A-450C-B003-EB25A7BF9B0F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W </a:t>
          </a:fld>
          <a:endParaRPr lang="cs-CZ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352425</xdr:colOff>
      <xdr:row>14</xdr:row>
      <xdr:rowOff>161925</xdr:rowOff>
    </xdr:from>
    <xdr:ext cx="264560" cy="838202"/>
    <xdr:sp macro="" textlink="$F$59">
      <xdr:nvSpPr>
        <xdr:cNvPr id="21" name="TextovéPole 20">
          <a:extLst>
            <a:ext uri="{FF2B5EF4-FFF2-40B4-BE49-F238E27FC236}">
              <a16:creationId xmlns:a16="http://schemas.microsoft.com/office/drawing/2014/main" id="{F349EC68-7B01-4B2F-A89F-6F5A03BCD6D2}"/>
            </a:ext>
          </a:extLst>
        </xdr:cNvPr>
        <xdr:cNvSpPr txBox="1"/>
      </xdr:nvSpPr>
      <xdr:spPr>
        <a:xfrm rot="16200000">
          <a:off x="248484" y="3679626"/>
          <a:ext cx="8382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AEE3A6DF-F579-41C6-9952-403461192979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F </a:t>
          </a:fld>
          <a:endParaRPr lang="cs-CZ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671755</xdr:colOff>
      <xdr:row>17</xdr:row>
      <xdr:rowOff>104775</xdr:rowOff>
    </xdr:from>
    <xdr:ext cx="254557" cy="695324"/>
    <xdr:sp macro="" textlink="$F$60">
      <xdr:nvSpPr>
        <xdr:cNvPr id="22" name="TextovéPole 21">
          <a:extLst>
            <a:ext uri="{FF2B5EF4-FFF2-40B4-BE49-F238E27FC236}">
              <a16:creationId xmlns:a16="http://schemas.microsoft.com/office/drawing/2014/main" id="{AE0CF5F7-8E89-4C63-8708-5A155FB5D653}"/>
            </a:ext>
          </a:extLst>
        </xdr:cNvPr>
        <xdr:cNvSpPr txBox="1"/>
      </xdr:nvSpPr>
      <xdr:spPr>
        <a:xfrm rot="16200000">
          <a:off x="4726192" y="4119918"/>
          <a:ext cx="69532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41E954D-CD54-496C-831A-E1E9D357F3EE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A</a:t>
          </a:fld>
          <a:endParaRPr lang="cs-CZ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6</xdr:col>
      <xdr:colOff>295275</xdr:colOff>
      <xdr:row>31</xdr:row>
      <xdr:rowOff>76200</xdr:rowOff>
    </xdr:from>
    <xdr:ext cx="438150" cy="238125"/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1D2D12A0-385D-44DD-986A-670F05DC2959}"/>
            </a:ext>
          </a:extLst>
        </xdr:cNvPr>
        <xdr:cNvSpPr txBox="1"/>
      </xdr:nvSpPr>
      <xdr:spPr>
        <a:xfrm>
          <a:off x="3823335" y="7376160"/>
          <a:ext cx="43815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80</a:t>
          </a:r>
        </a:p>
      </xdr:txBody>
    </xdr:sp>
    <xdr:clientData/>
  </xdr:oneCellAnchor>
  <xdr:oneCellAnchor>
    <xdr:from>
      <xdr:col>2</xdr:col>
      <xdr:colOff>990600</xdr:colOff>
      <xdr:row>31</xdr:row>
      <xdr:rowOff>66675</xdr:rowOff>
    </xdr:from>
    <xdr:ext cx="438150" cy="238125"/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2168AB42-AEB9-4572-BCBC-F224D2C3FC12}"/>
            </a:ext>
          </a:extLst>
        </xdr:cNvPr>
        <xdr:cNvSpPr txBox="1"/>
      </xdr:nvSpPr>
      <xdr:spPr>
        <a:xfrm>
          <a:off x="1783080" y="7366635"/>
          <a:ext cx="43815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80</a:t>
          </a:r>
        </a:p>
      </xdr:txBody>
    </xdr:sp>
    <xdr:clientData/>
  </xdr:oneCellAnchor>
  <xdr:oneCellAnchor>
    <xdr:from>
      <xdr:col>3</xdr:col>
      <xdr:colOff>238124</xdr:colOff>
      <xdr:row>43</xdr:row>
      <xdr:rowOff>9525</xdr:rowOff>
    </xdr:from>
    <xdr:ext cx="1514475" cy="264560"/>
    <xdr:sp macro="" textlink="Obrázky!Z13">
      <xdr:nvSpPr>
        <xdr:cNvPr id="25" name="TextovéPole 24">
          <a:extLst>
            <a:ext uri="{FF2B5EF4-FFF2-40B4-BE49-F238E27FC236}">
              <a16:creationId xmlns:a16="http://schemas.microsoft.com/office/drawing/2014/main" id="{998E3FC1-4663-41DF-B9F2-87F1999094A3}"/>
            </a:ext>
          </a:extLst>
        </xdr:cNvPr>
        <xdr:cNvSpPr txBox="1"/>
      </xdr:nvSpPr>
      <xdr:spPr>
        <a:xfrm>
          <a:off x="2059304" y="9740265"/>
          <a:ext cx="15144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44D6625B-7A46-4AD5-825A-50057043FF60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L + W + R </a:t>
          </a:fld>
          <a:endParaRPr lang="cs-CZ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457200</xdr:colOff>
      <xdr:row>40</xdr:row>
      <xdr:rowOff>95249</xdr:rowOff>
    </xdr:from>
    <xdr:ext cx="264560" cy="447675"/>
    <xdr:sp macro="" textlink="Obrázky!Z18">
      <xdr:nvSpPr>
        <xdr:cNvPr id="26" name="TextovéPole 25">
          <a:extLst>
            <a:ext uri="{FF2B5EF4-FFF2-40B4-BE49-F238E27FC236}">
              <a16:creationId xmlns:a16="http://schemas.microsoft.com/office/drawing/2014/main" id="{1AA6A110-08CF-405E-A842-F2BEE87F7831}"/>
            </a:ext>
          </a:extLst>
        </xdr:cNvPr>
        <xdr:cNvSpPr txBox="1"/>
      </xdr:nvSpPr>
      <xdr:spPr>
        <a:xfrm rot="16200000">
          <a:off x="548522" y="9254607"/>
          <a:ext cx="447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80DA73-6985-4BB3-9459-9B0DF4F6D533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250</a:t>
          </a:fld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47625</xdr:colOff>
      <xdr:row>32</xdr:row>
      <xdr:rowOff>95250</xdr:rowOff>
    </xdr:from>
    <xdr:ext cx="1009650" cy="264560"/>
    <xdr:sp macro="" textlink="$F$61">
      <xdr:nvSpPr>
        <xdr:cNvPr id="27" name="TextovéPole 26">
          <a:extLst>
            <a:ext uri="{FF2B5EF4-FFF2-40B4-BE49-F238E27FC236}">
              <a16:creationId xmlns:a16="http://schemas.microsoft.com/office/drawing/2014/main" id="{9489A407-4435-4BF9-B6A5-25A933F84FFB}"/>
            </a:ext>
          </a:extLst>
        </xdr:cNvPr>
        <xdr:cNvSpPr txBox="1"/>
      </xdr:nvSpPr>
      <xdr:spPr>
        <a:xfrm>
          <a:off x="230505" y="7593330"/>
          <a:ext cx="1009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B94BBD5-8AAF-4803-9A97-E47437E89354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L</a:t>
          </a:fld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276225</xdr:colOff>
      <xdr:row>32</xdr:row>
      <xdr:rowOff>104775</xdr:rowOff>
    </xdr:from>
    <xdr:ext cx="1009650" cy="264560"/>
    <xdr:sp macro="" textlink="F62">
      <xdr:nvSpPr>
        <xdr:cNvPr id="28" name="TextovéPole 27">
          <a:extLst>
            <a:ext uri="{FF2B5EF4-FFF2-40B4-BE49-F238E27FC236}">
              <a16:creationId xmlns:a16="http://schemas.microsoft.com/office/drawing/2014/main" id="{263D3DBE-59F5-4A92-B462-DAEC7DF44533}"/>
            </a:ext>
          </a:extLst>
        </xdr:cNvPr>
        <xdr:cNvSpPr txBox="1"/>
      </xdr:nvSpPr>
      <xdr:spPr>
        <a:xfrm>
          <a:off x="4551045" y="7602855"/>
          <a:ext cx="10096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09B7147A-22F5-44D5-9C0D-E2C4E2D07356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R</a:t>
          </a:fld>
          <a:endParaRPr lang="cs-CZ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184667</xdr:colOff>
      <xdr:row>32</xdr:row>
      <xdr:rowOff>139183</xdr:rowOff>
    </xdr:from>
    <xdr:ext cx="447675" cy="264560"/>
    <xdr:sp macro="" textlink="Obrázky!Z18">
      <xdr:nvSpPr>
        <xdr:cNvPr id="29" name="TextovéPole 28">
          <a:extLst>
            <a:ext uri="{FF2B5EF4-FFF2-40B4-BE49-F238E27FC236}">
              <a16:creationId xmlns:a16="http://schemas.microsoft.com/office/drawing/2014/main" id="{7DB079C4-D0FD-43E5-99A5-7C5B5FE91D18}"/>
            </a:ext>
          </a:extLst>
        </xdr:cNvPr>
        <xdr:cNvSpPr txBox="1"/>
      </xdr:nvSpPr>
      <xdr:spPr>
        <a:xfrm>
          <a:off x="11919467" y="7637263"/>
          <a:ext cx="447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880DA73-6985-4BB3-9459-9B0DF4F6D533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250</a:t>
          </a:fld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557213</xdr:colOff>
      <xdr:row>17</xdr:row>
      <xdr:rowOff>100013</xdr:rowOff>
    </xdr:from>
    <xdr:ext cx="238125" cy="438150"/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CABC7E5D-BA56-4879-BA2A-F5831A331070}"/>
            </a:ext>
          </a:extLst>
        </xdr:cNvPr>
        <xdr:cNvSpPr txBox="1"/>
      </xdr:nvSpPr>
      <xdr:spPr>
        <a:xfrm rot="16200000">
          <a:off x="3375661" y="3994785"/>
          <a:ext cx="43815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100</a:t>
          </a:r>
        </a:p>
      </xdr:txBody>
    </xdr:sp>
    <xdr:clientData/>
  </xdr:oneCellAnchor>
  <xdr:oneCellAnchor>
    <xdr:from>
      <xdr:col>18</xdr:col>
      <xdr:colOff>257175</xdr:colOff>
      <xdr:row>13</xdr:row>
      <xdr:rowOff>57150</xdr:rowOff>
    </xdr:from>
    <xdr:ext cx="264560" cy="838202"/>
    <xdr:sp macro="" textlink="$F$59">
      <xdr:nvSpPr>
        <xdr:cNvPr id="31" name="TextovéPole 30">
          <a:extLst>
            <a:ext uri="{FF2B5EF4-FFF2-40B4-BE49-F238E27FC236}">
              <a16:creationId xmlns:a16="http://schemas.microsoft.com/office/drawing/2014/main" id="{626D264A-6B48-475C-9B16-7EC77A492590}"/>
            </a:ext>
          </a:extLst>
        </xdr:cNvPr>
        <xdr:cNvSpPr txBox="1"/>
      </xdr:nvSpPr>
      <xdr:spPr>
        <a:xfrm rot="16200000">
          <a:off x="13091994" y="3384351"/>
          <a:ext cx="8382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AEE3A6DF-F579-41C6-9952-403461192979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F </a:t>
          </a:fld>
          <a:endParaRPr lang="cs-CZ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333375</xdr:colOff>
      <xdr:row>21</xdr:row>
      <xdr:rowOff>152400</xdr:rowOff>
    </xdr:from>
    <xdr:ext cx="264560" cy="838202"/>
    <xdr:sp macro="" textlink="$F$58">
      <xdr:nvSpPr>
        <xdr:cNvPr id="32" name="TextovéPole 31">
          <a:extLst>
            <a:ext uri="{FF2B5EF4-FFF2-40B4-BE49-F238E27FC236}">
              <a16:creationId xmlns:a16="http://schemas.microsoft.com/office/drawing/2014/main" id="{A9D9586F-DFA4-41D3-81D0-4707420C6CF2}"/>
            </a:ext>
          </a:extLst>
        </xdr:cNvPr>
        <xdr:cNvSpPr txBox="1"/>
      </xdr:nvSpPr>
      <xdr:spPr>
        <a:xfrm rot="16200000">
          <a:off x="229434" y="5575101"/>
          <a:ext cx="8382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9E02DB01-B7C5-4EEF-A95B-28E9E8EA46AD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H </a:t>
          </a:fld>
          <a:endParaRPr lang="cs-CZ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18</xdr:col>
      <xdr:colOff>257175</xdr:colOff>
      <xdr:row>20</xdr:row>
      <xdr:rowOff>485775</xdr:rowOff>
    </xdr:from>
    <xdr:ext cx="264560" cy="838202"/>
    <xdr:sp macro="" textlink="$F$58">
      <xdr:nvSpPr>
        <xdr:cNvPr id="33" name="TextovéPole 32">
          <a:extLst>
            <a:ext uri="{FF2B5EF4-FFF2-40B4-BE49-F238E27FC236}">
              <a16:creationId xmlns:a16="http://schemas.microsoft.com/office/drawing/2014/main" id="{D886A233-E3A6-4BFB-8B2B-5BB0F7957E47}"/>
            </a:ext>
          </a:extLst>
        </xdr:cNvPr>
        <xdr:cNvSpPr txBox="1"/>
      </xdr:nvSpPr>
      <xdr:spPr>
        <a:xfrm rot="16200000">
          <a:off x="13091994" y="5314116"/>
          <a:ext cx="8382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9E02DB01-B7C5-4EEF-A95B-28E9E8EA46AD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H </a:t>
          </a:fld>
          <a:endParaRPr lang="cs-CZ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161925</xdr:colOff>
      <xdr:row>13</xdr:row>
      <xdr:rowOff>57150</xdr:rowOff>
    </xdr:from>
    <xdr:ext cx="390525" cy="264560"/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1362E16E-3CEE-4273-ADE3-47EFD2C55E17}"/>
            </a:ext>
          </a:extLst>
        </xdr:cNvPr>
        <xdr:cNvSpPr txBox="1"/>
      </xdr:nvSpPr>
      <xdr:spPr>
        <a:xfrm>
          <a:off x="11896725" y="3097530"/>
          <a:ext cx="390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cs-CZ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Y2</a:t>
          </a:r>
          <a:r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oneCellAnchor>
    <xdr:from>
      <xdr:col>20</xdr:col>
      <xdr:colOff>609040</xdr:colOff>
      <xdr:row>37</xdr:row>
      <xdr:rowOff>77881</xdr:rowOff>
    </xdr:from>
    <xdr:ext cx="1934135" cy="304800"/>
    <xdr:sp macro="" textlink="AG125">
      <xdr:nvSpPr>
        <xdr:cNvPr id="35" name="TextovéPole 34">
          <a:extLst>
            <a:ext uri="{FF2B5EF4-FFF2-40B4-BE49-F238E27FC236}">
              <a16:creationId xmlns:a16="http://schemas.microsoft.com/office/drawing/2014/main" id="{D9742397-D44D-4089-8DCE-4F8D84814EFA}"/>
            </a:ext>
          </a:extLst>
        </xdr:cNvPr>
        <xdr:cNvSpPr txBox="1"/>
      </xdr:nvSpPr>
      <xdr:spPr>
        <a:xfrm>
          <a:off x="14949880" y="8551321"/>
          <a:ext cx="1934135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EC778049-A639-4B60-BF3A-5F341739AD65}" type="TxLink">
            <a:rPr lang="en-US" sz="12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r"/>
            <a:t>Angebot/Bestellung:</a:t>
          </a:fld>
          <a:endParaRPr lang="cs-CZ" sz="12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22</xdr:col>
      <xdr:colOff>114300</xdr:colOff>
      <xdr:row>40</xdr:row>
      <xdr:rowOff>76200</xdr:rowOff>
    </xdr:from>
    <xdr:ext cx="1160448" cy="304800"/>
    <xdr:sp macro="" textlink="AG126">
      <xdr:nvSpPr>
        <xdr:cNvPr id="36" name="TextovéPole 35">
          <a:extLst>
            <a:ext uri="{FF2B5EF4-FFF2-40B4-BE49-F238E27FC236}">
              <a16:creationId xmlns:a16="http://schemas.microsoft.com/office/drawing/2014/main" id="{477DA33A-9770-412A-8B5E-6F080C25FE95}"/>
            </a:ext>
          </a:extLst>
        </xdr:cNvPr>
        <xdr:cNvSpPr txBox="1"/>
      </xdr:nvSpPr>
      <xdr:spPr>
        <a:xfrm>
          <a:off x="15781020" y="9144000"/>
          <a:ext cx="1160448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BEA6B93D-07D5-4C7F-9146-DA68CEA204D1}" type="TxLink">
            <a:rPr lang="en-US" sz="12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r"/>
            <a:t>Position:</a:t>
          </a:fld>
          <a:endParaRPr lang="cs-CZ" sz="12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49</xdr:col>
      <xdr:colOff>0</xdr:colOff>
      <xdr:row>114</xdr:row>
      <xdr:rowOff>0</xdr:rowOff>
    </xdr:from>
    <xdr:to>
      <xdr:col>49</xdr:col>
      <xdr:colOff>9525</xdr:colOff>
      <xdr:row>114</xdr:row>
      <xdr:rowOff>9525</xdr:rowOff>
    </xdr:to>
    <xdr:pic>
      <xdr:nvPicPr>
        <xdr:cNvPr id="37" name="Picture 248">
          <a:extLst>
            <a:ext uri="{FF2B5EF4-FFF2-40B4-BE49-F238E27FC236}">
              <a16:creationId xmlns:a16="http://schemas.microsoft.com/office/drawing/2014/main" id="{6D75F116-E42A-40EB-A05D-9110342A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87260" y="23332440"/>
          <a:ext cx="9525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2</xdr:row>
      <xdr:rowOff>57150</xdr:rowOff>
    </xdr:from>
    <xdr:to>
      <xdr:col>8</xdr:col>
      <xdr:colOff>238125</xdr:colOff>
      <xdr:row>28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0E4BA29-900E-4F8C-9A82-29A62A2B9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22910"/>
          <a:ext cx="4552950" cy="4850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0B19C2A-C606-4024-99ED-89D6BD21C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465445"/>
          <a:ext cx="2486025" cy="1339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276226</xdr:colOff>
      <xdr:row>26</xdr:row>
      <xdr:rowOff>161925</xdr:rowOff>
    </xdr:from>
    <xdr:to>
      <xdr:col>6</xdr:col>
      <xdr:colOff>104776</xdr:colOff>
      <xdr:row>28</xdr:row>
      <xdr:rowOff>95250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9C7D442A-C4C1-45C2-BD0B-73812560C360}"/>
            </a:ext>
          </a:extLst>
        </xdr:cNvPr>
        <xdr:cNvSpPr txBox="1"/>
      </xdr:nvSpPr>
      <xdr:spPr>
        <a:xfrm>
          <a:off x="2714626" y="4916805"/>
          <a:ext cx="1047750" cy="299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twoCellAnchor>
  <xdr:twoCellAnchor>
    <xdr:from>
      <xdr:col>0</xdr:col>
      <xdr:colOff>357189</xdr:colOff>
      <xdr:row>14</xdr:row>
      <xdr:rowOff>4764</xdr:rowOff>
    </xdr:from>
    <xdr:to>
      <xdr:col>1</xdr:col>
      <xdr:colOff>61914</xdr:colOff>
      <xdr:row>19</xdr:row>
      <xdr:rowOff>100014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6D61546D-0980-46E7-B1C0-158ED189E3D8}"/>
            </a:ext>
          </a:extLst>
        </xdr:cNvPr>
        <xdr:cNvSpPr txBox="1"/>
      </xdr:nvSpPr>
      <xdr:spPr>
        <a:xfrm rot="16200000">
          <a:off x="9527" y="2912746"/>
          <a:ext cx="10096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H=</a:t>
          </a:r>
        </a:p>
      </xdr:txBody>
    </xdr:sp>
    <xdr:clientData/>
  </xdr:twoCellAnchor>
  <xdr:twoCellAnchor>
    <xdr:from>
      <xdr:col>0</xdr:col>
      <xdr:colOff>357189</xdr:colOff>
      <xdr:row>2</xdr:row>
      <xdr:rowOff>4763</xdr:rowOff>
    </xdr:from>
    <xdr:to>
      <xdr:col>1</xdr:col>
      <xdr:colOff>61914</xdr:colOff>
      <xdr:row>7</xdr:row>
      <xdr:rowOff>100013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242CDB6B-AD26-49B1-A25D-5E1935509DA1}"/>
            </a:ext>
          </a:extLst>
        </xdr:cNvPr>
        <xdr:cNvSpPr txBox="1"/>
      </xdr:nvSpPr>
      <xdr:spPr>
        <a:xfrm rot="16200000">
          <a:off x="9527" y="718185"/>
          <a:ext cx="10096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F=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2</xdr:row>
      <xdr:rowOff>57150</xdr:rowOff>
    </xdr:from>
    <xdr:to>
      <xdr:col>8</xdr:col>
      <xdr:colOff>238125</xdr:colOff>
      <xdr:row>28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166DC1C-B95D-47AB-8E7B-FBD24A6C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22910"/>
          <a:ext cx="4552950" cy="4850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846D1D7-507E-49F2-99A9-9D570BDCF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465445"/>
          <a:ext cx="2486025" cy="1339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276226</xdr:colOff>
      <xdr:row>26</xdr:row>
      <xdr:rowOff>161925</xdr:rowOff>
    </xdr:from>
    <xdr:to>
      <xdr:col>6</xdr:col>
      <xdr:colOff>104776</xdr:colOff>
      <xdr:row>28</xdr:row>
      <xdr:rowOff>95250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1C788D4C-CA17-446A-B55E-2926554769B2}"/>
            </a:ext>
          </a:extLst>
        </xdr:cNvPr>
        <xdr:cNvSpPr txBox="1"/>
      </xdr:nvSpPr>
      <xdr:spPr>
        <a:xfrm>
          <a:off x="2714626" y="4916805"/>
          <a:ext cx="1047750" cy="299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twoCellAnchor>
  <xdr:twoCellAnchor>
    <xdr:from>
      <xdr:col>0</xdr:col>
      <xdr:colOff>357189</xdr:colOff>
      <xdr:row>14</xdr:row>
      <xdr:rowOff>4764</xdr:rowOff>
    </xdr:from>
    <xdr:to>
      <xdr:col>1</xdr:col>
      <xdr:colOff>61914</xdr:colOff>
      <xdr:row>19</xdr:row>
      <xdr:rowOff>100014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877CB6E4-F290-44D3-9F5E-E2D73A4B2A9E}"/>
            </a:ext>
          </a:extLst>
        </xdr:cNvPr>
        <xdr:cNvSpPr txBox="1"/>
      </xdr:nvSpPr>
      <xdr:spPr>
        <a:xfrm rot="16200000">
          <a:off x="9527" y="2912746"/>
          <a:ext cx="10096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H=</a:t>
          </a:r>
        </a:p>
      </xdr:txBody>
    </xdr:sp>
    <xdr:clientData/>
  </xdr:twoCellAnchor>
  <xdr:twoCellAnchor>
    <xdr:from>
      <xdr:col>0</xdr:col>
      <xdr:colOff>357189</xdr:colOff>
      <xdr:row>2</xdr:row>
      <xdr:rowOff>4763</xdr:rowOff>
    </xdr:from>
    <xdr:to>
      <xdr:col>1</xdr:col>
      <xdr:colOff>61914</xdr:colOff>
      <xdr:row>7</xdr:row>
      <xdr:rowOff>100013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D60B9BBD-3DAC-4F44-9619-397AF62DACC1}"/>
            </a:ext>
          </a:extLst>
        </xdr:cNvPr>
        <xdr:cNvSpPr txBox="1"/>
      </xdr:nvSpPr>
      <xdr:spPr>
        <a:xfrm rot="16200000">
          <a:off x="9527" y="718185"/>
          <a:ext cx="10096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F=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2</xdr:row>
      <xdr:rowOff>57150</xdr:rowOff>
    </xdr:from>
    <xdr:to>
      <xdr:col>8</xdr:col>
      <xdr:colOff>238125</xdr:colOff>
      <xdr:row>28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C1935B4-6608-402B-BF86-72DCAD89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22910"/>
          <a:ext cx="4552950" cy="4850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8915670-1CF0-4C3D-9363-1B87FA21E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465445"/>
          <a:ext cx="2486025" cy="1339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276226</xdr:colOff>
      <xdr:row>26</xdr:row>
      <xdr:rowOff>161925</xdr:rowOff>
    </xdr:from>
    <xdr:to>
      <xdr:col>6</xdr:col>
      <xdr:colOff>104776</xdr:colOff>
      <xdr:row>28</xdr:row>
      <xdr:rowOff>95250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86CC3E43-BBC8-48BB-93BC-DF9BB4B7700D}"/>
            </a:ext>
          </a:extLst>
        </xdr:cNvPr>
        <xdr:cNvSpPr txBox="1"/>
      </xdr:nvSpPr>
      <xdr:spPr>
        <a:xfrm>
          <a:off x="2714626" y="4916805"/>
          <a:ext cx="1047750" cy="299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twoCellAnchor>
  <xdr:twoCellAnchor>
    <xdr:from>
      <xdr:col>0</xdr:col>
      <xdr:colOff>357189</xdr:colOff>
      <xdr:row>14</xdr:row>
      <xdr:rowOff>4764</xdr:rowOff>
    </xdr:from>
    <xdr:to>
      <xdr:col>1</xdr:col>
      <xdr:colOff>61914</xdr:colOff>
      <xdr:row>19</xdr:row>
      <xdr:rowOff>100014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97F07524-19B2-4F80-AFFA-45BC30CE3E70}"/>
            </a:ext>
          </a:extLst>
        </xdr:cNvPr>
        <xdr:cNvSpPr txBox="1"/>
      </xdr:nvSpPr>
      <xdr:spPr>
        <a:xfrm rot="16200000">
          <a:off x="9527" y="2912746"/>
          <a:ext cx="10096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H=</a:t>
          </a:r>
        </a:p>
      </xdr:txBody>
    </xdr:sp>
    <xdr:clientData/>
  </xdr:twoCellAnchor>
  <xdr:twoCellAnchor>
    <xdr:from>
      <xdr:col>0</xdr:col>
      <xdr:colOff>357189</xdr:colOff>
      <xdr:row>2</xdr:row>
      <xdr:rowOff>4763</xdr:rowOff>
    </xdr:from>
    <xdr:to>
      <xdr:col>1</xdr:col>
      <xdr:colOff>61914</xdr:colOff>
      <xdr:row>7</xdr:row>
      <xdr:rowOff>100013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C32CE5E8-9949-413E-919D-A7D7649EF41D}"/>
            </a:ext>
          </a:extLst>
        </xdr:cNvPr>
        <xdr:cNvSpPr txBox="1"/>
      </xdr:nvSpPr>
      <xdr:spPr>
        <a:xfrm rot="16200000">
          <a:off x="9527" y="718185"/>
          <a:ext cx="10096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F=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0</xdr:row>
      <xdr:rowOff>0</xdr:rowOff>
    </xdr:from>
    <xdr:to>
      <xdr:col>20</xdr:col>
      <xdr:colOff>571500</xdr:colOff>
      <xdr:row>15</xdr:row>
      <xdr:rowOff>33566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30D1E24-1526-4549-9C59-3DB6EF83B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0"/>
          <a:ext cx="6863715" cy="2776766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28574</xdr:colOff>
      <xdr:row>18</xdr:row>
      <xdr:rowOff>104775</xdr:rowOff>
    </xdr:from>
    <xdr:to>
      <xdr:col>20</xdr:col>
      <xdr:colOff>247649</xdr:colOff>
      <xdr:row>45</xdr:row>
      <xdr:rowOff>76200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CFFCCDF-9300-4E0C-8EC7-3C7FCA47FA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4" t="29830" r="18872" b="19222"/>
        <a:stretch/>
      </xdr:blipFill>
      <xdr:spPr>
        <a:xfrm>
          <a:off x="7740014" y="3396615"/>
          <a:ext cx="5095875" cy="4924425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45</xdr:row>
      <xdr:rowOff>104775</xdr:rowOff>
    </xdr:from>
    <xdr:to>
      <xdr:col>20</xdr:col>
      <xdr:colOff>273312</xdr:colOff>
      <xdr:row>72</xdr:row>
      <xdr:rowOff>73275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9C86919-C1B6-4A2B-A99E-67E355B2CB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2" t="29831" r="18749" b="19412"/>
        <a:stretch/>
      </xdr:blipFill>
      <xdr:spPr>
        <a:xfrm>
          <a:off x="7740015" y="8349615"/>
          <a:ext cx="5121537" cy="4913880"/>
        </a:xfrm>
        <a:prstGeom prst="rect">
          <a:avLst/>
        </a:prstGeom>
      </xdr:spPr>
    </xdr:pic>
    <xdr:clientData/>
  </xdr:twoCellAnchor>
  <xdr:twoCellAnchor editAs="oneCell">
    <xdr:from>
      <xdr:col>11</xdr:col>
      <xdr:colOff>400048</xdr:colOff>
      <xdr:row>73</xdr:row>
      <xdr:rowOff>152400</xdr:rowOff>
    </xdr:from>
    <xdr:to>
      <xdr:col>20</xdr:col>
      <xdr:colOff>25648</xdr:colOff>
      <xdr:row>100</xdr:row>
      <xdr:rowOff>140010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DC52A33-D12F-4C77-8D5D-02B9CD8748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4" t="29735" r="18872" b="19412"/>
        <a:stretch/>
      </xdr:blipFill>
      <xdr:spPr>
        <a:xfrm>
          <a:off x="7501888" y="13525500"/>
          <a:ext cx="5112000" cy="4932990"/>
        </a:xfrm>
        <a:prstGeom prst="rect">
          <a:avLst/>
        </a:prstGeom>
      </xdr:spPr>
    </xdr:pic>
    <xdr:clientData/>
  </xdr:twoCellAnchor>
  <xdr:twoCellAnchor editAs="oneCell">
    <xdr:from>
      <xdr:col>11</xdr:col>
      <xdr:colOff>521275</xdr:colOff>
      <xdr:row>101</xdr:row>
      <xdr:rowOff>85723</xdr:rowOff>
    </xdr:from>
    <xdr:to>
      <xdr:col>20</xdr:col>
      <xdr:colOff>146875</xdr:colOff>
      <xdr:row>128</xdr:row>
      <xdr:rowOff>61169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0F65541-F0C3-419C-8548-9C35A19EA1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31" t="29830" r="18872" b="19412"/>
        <a:stretch/>
      </xdr:blipFill>
      <xdr:spPr>
        <a:xfrm>
          <a:off x="7623115" y="18594703"/>
          <a:ext cx="5112000" cy="4920826"/>
        </a:xfrm>
        <a:prstGeom prst="rect">
          <a:avLst/>
        </a:prstGeom>
      </xdr:spPr>
    </xdr:pic>
    <xdr:clientData/>
  </xdr:twoCellAnchor>
  <xdr:twoCellAnchor editAs="oneCell">
    <xdr:from>
      <xdr:col>12</xdr:col>
      <xdr:colOff>154131</xdr:colOff>
      <xdr:row>128</xdr:row>
      <xdr:rowOff>142875</xdr:rowOff>
    </xdr:from>
    <xdr:to>
      <xdr:col>20</xdr:col>
      <xdr:colOff>390524</xdr:colOff>
      <xdr:row>155</xdr:row>
      <xdr:rowOff>133350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93E3C491-0B7B-469E-9AF9-606F2AFC31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41" t="29736" r="18872" b="19223"/>
        <a:stretch/>
      </xdr:blipFill>
      <xdr:spPr>
        <a:xfrm>
          <a:off x="7865571" y="23597235"/>
          <a:ext cx="5113193" cy="4928235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19</xdr:row>
      <xdr:rowOff>0</xdr:rowOff>
    </xdr:from>
    <xdr:to>
      <xdr:col>11</xdr:col>
      <xdr:colOff>9526</xdr:colOff>
      <xdr:row>43</xdr:row>
      <xdr:rowOff>92740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74C01E6F-A1AB-47B3-B2A6-648E4CCEDA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4" t="29830" r="18872" b="19222"/>
        <a:stretch/>
      </xdr:blipFill>
      <xdr:spPr>
        <a:xfrm>
          <a:off x="2438401" y="3474720"/>
          <a:ext cx="4672965" cy="44971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11</xdr:col>
      <xdr:colOff>19050</xdr:colOff>
      <xdr:row>70</xdr:row>
      <xdr:rowOff>77052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39EFDCC6-F29D-4649-9BEB-66D60E5F5E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2" t="29831" r="18749" b="19412"/>
        <a:stretch/>
      </xdr:blipFill>
      <xdr:spPr>
        <a:xfrm>
          <a:off x="2438400" y="8427720"/>
          <a:ext cx="4682490" cy="447379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11</xdr:col>
      <xdr:colOff>19050</xdr:colOff>
      <xdr:row>97</xdr:row>
      <xdr:rowOff>103137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C63B00B6-3DEB-4C31-93B4-9BDC2D0FFB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64" t="29735" r="18872" b="19412"/>
        <a:stretch/>
      </xdr:blipFill>
      <xdr:spPr>
        <a:xfrm>
          <a:off x="2438400" y="13373100"/>
          <a:ext cx="4682490" cy="449987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11</xdr:col>
      <xdr:colOff>9525</xdr:colOff>
      <xdr:row>124</xdr:row>
      <xdr:rowOff>82516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1307DF4C-5052-4C30-B3F4-8347DDAFBF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31" t="29830" r="18872" b="19412"/>
        <a:stretch/>
      </xdr:blipFill>
      <xdr:spPr>
        <a:xfrm>
          <a:off x="2438400" y="18318480"/>
          <a:ext cx="4672965" cy="4479256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127</xdr:row>
      <xdr:rowOff>1</xdr:rowOff>
    </xdr:from>
    <xdr:to>
      <xdr:col>11</xdr:col>
      <xdr:colOff>9526</xdr:colOff>
      <xdr:row>151</xdr:row>
      <xdr:rowOff>95093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D1A23A7F-9D88-4982-8B81-F0FDBC2EFC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41" t="29736" r="18872" b="19223"/>
        <a:stretch/>
      </xdr:blipFill>
      <xdr:spPr>
        <a:xfrm>
          <a:off x="2438401" y="23263861"/>
          <a:ext cx="4672965" cy="4491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0E0D3-E8E2-44C2-B506-499F751AB907}">
  <sheetPr codeName="List1">
    <pageSetUpPr fitToPage="1"/>
  </sheetPr>
  <dimension ref="A1:BI126"/>
  <sheetViews>
    <sheetView showGridLines="0" tabSelected="1" view="pageBreakPreview" topLeftCell="A46" zoomScale="80" zoomScaleNormal="80" zoomScaleSheetLayoutView="80" workbookViewId="0">
      <selection activeCell="K3" sqref="K3"/>
    </sheetView>
  </sheetViews>
  <sheetFormatPr baseColWidth="10" defaultColWidth="9.140625" defaultRowHeight="15"/>
  <cols>
    <col min="1" max="1" width="2.7109375" customWidth="1"/>
    <col min="3" max="3" width="15" customWidth="1"/>
    <col min="4" max="4" width="7.140625" customWidth="1"/>
    <col min="7" max="8" width="10.85546875" bestFit="1" customWidth="1"/>
    <col min="9" max="9" width="16" customWidth="1"/>
    <col min="10" max="10" width="20.140625" customWidth="1"/>
    <col min="11" max="11" width="9.140625" customWidth="1"/>
    <col min="12" max="12" width="11.85546875" bestFit="1" customWidth="1"/>
    <col min="13" max="13" width="3.42578125" customWidth="1"/>
    <col min="14" max="14" width="15.7109375" customWidth="1"/>
    <col min="15" max="15" width="11.140625" customWidth="1"/>
    <col min="16" max="16" width="10.5703125" customWidth="1"/>
    <col min="18" max="18" width="11.28515625" bestFit="1" customWidth="1"/>
    <col min="21" max="21" width="10.42578125" customWidth="1"/>
    <col min="23" max="23" width="10.7109375" customWidth="1"/>
    <col min="26" max="26" width="11.85546875" bestFit="1" customWidth="1"/>
    <col min="27" max="27" width="11.7109375" customWidth="1"/>
    <col min="29" max="29" width="2.140625" customWidth="1"/>
    <col min="30" max="31" width="9.140625" hidden="1" customWidth="1"/>
    <col min="32" max="32" width="8.42578125" hidden="1" customWidth="1"/>
    <col min="33" max="33" width="15.570312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76.5703125" hidden="1" customWidth="1"/>
    <col min="38" max="38" width="65" hidden="1" customWidth="1"/>
    <col min="39" max="39" width="60" hidden="1" customWidth="1"/>
    <col min="40" max="40" width="87.28515625" hidden="1" customWidth="1"/>
    <col min="41" max="41" width="66.28515625" hidden="1" customWidth="1"/>
    <col min="42" max="42" width="29.140625" hidden="1" customWidth="1"/>
    <col min="43" max="49" width="9.140625" hidden="1" customWidth="1"/>
    <col min="50" max="58" width="9.140625" customWidth="1"/>
  </cols>
  <sheetData>
    <row r="1" spans="1:47" ht="15.7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B1" s="1"/>
      <c r="AD1" s="2" t="s">
        <v>0</v>
      </c>
      <c r="AE1" s="3">
        <f>VLOOKUP(E5,AD3:AE11,2,FALSE)</f>
        <v>3</v>
      </c>
      <c r="AF1" s="4"/>
      <c r="AG1" t="s">
        <v>1</v>
      </c>
      <c r="AH1" s="4" t="s">
        <v>2</v>
      </c>
      <c r="AI1" s="4" t="s">
        <v>3</v>
      </c>
      <c r="AJ1" s="4" t="s">
        <v>4</v>
      </c>
      <c r="AK1" s="4" t="s">
        <v>5</v>
      </c>
      <c r="AL1" s="4" t="s">
        <v>6</v>
      </c>
      <c r="AM1" s="4" t="s">
        <v>7</v>
      </c>
      <c r="AN1" s="4" t="s">
        <v>8</v>
      </c>
      <c r="AO1" s="4" t="s">
        <v>9</v>
      </c>
      <c r="AP1" s="4" t="s">
        <v>10</v>
      </c>
      <c r="AU1" s="4" t="str">
        <f>$AG$102</f>
        <v>hand</v>
      </c>
    </row>
    <row r="2" spans="1:47" ht="15.75" customHeight="1" thickBot="1">
      <c r="A2" s="5"/>
      <c r="M2" s="6"/>
      <c r="N2" s="6"/>
      <c r="O2" s="6"/>
      <c r="P2" s="6"/>
      <c r="Q2" s="6"/>
      <c r="R2" s="6"/>
      <c r="S2" s="6"/>
      <c r="T2" s="6"/>
      <c r="U2" s="6"/>
      <c r="V2" s="6"/>
      <c r="W2" s="174" t="str">
        <f>VLOOKUP(AG13,AG2:AR96,$AE$1+1,FALSE)</f>
        <v>NIEDRIGSTURZ BESCHLAG (LL-DT)</v>
      </c>
      <c r="X2" s="174"/>
      <c r="Y2" s="174"/>
      <c r="Z2" s="174"/>
      <c r="AA2" s="174"/>
      <c r="AB2" s="175"/>
      <c r="AD2" s="7" t="s">
        <v>11</v>
      </c>
      <c r="AE2" s="8" t="s">
        <v>12</v>
      </c>
      <c r="AF2" s="9"/>
      <c r="AG2" t="str">
        <f>VLOOKUP(AH2,AH2:AR96,$AE$1,FALSE)</f>
        <v>Wählen Sie eine Sprache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  <c r="AU2" t="str">
        <f>$AG$106</f>
        <v>Haspelkette - rechts</v>
      </c>
    </row>
    <row r="3" spans="1:47" ht="19.5" customHeight="1" thickBot="1">
      <c r="A3" s="5"/>
      <c r="B3" s="10" t="s">
        <v>22</v>
      </c>
      <c r="C3" s="10"/>
      <c r="H3" s="11" t="str">
        <f>VLOOKUP(AG3,AG2:AR96,$AE$1+1,FALSE)</f>
        <v>Lichte Breite</v>
      </c>
      <c r="I3" s="11"/>
      <c r="K3" s="12"/>
      <c r="W3" s="176"/>
      <c r="X3" s="176"/>
      <c r="Y3" s="176"/>
      <c r="Z3" s="176"/>
      <c r="AA3" s="176"/>
      <c r="AB3" s="177"/>
      <c r="AD3" s="13" t="s">
        <v>2</v>
      </c>
      <c r="AE3" s="14">
        <v>1</v>
      </c>
      <c r="AF3" s="4"/>
      <c r="AG3" t="str">
        <f>VLOOKUP(AH3,AH3:AR96,$AE$1,FALSE)</f>
        <v>Lichte Breite</v>
      </c>
      <c r="AH3" t="s">
        <v>23</v>
      </c>
      <c r="AI3" t="s">
        <v>24</v>
      </c>
      <c r="AJ3" t="s">
        <v>25</v>
      </c>
      <c r="AK3" t="s">
        <v>26</v>
      </c>
      <c r="AL3" t="s">
        <v>27</v>
      </c>
      <c r="AM3" t="s">
        <v>28</v>
      </c>
      <c r="AN3" t="s">
        <v>29</v>
      </c>
      <c r="AO3" t="s">
        <v>30</v>
      </c>
      <c r="AP3" t="s">
        <v>31</v>
      </c>
      <c r="AU3" t="str">
        <f>$AG$105</f>
        <v>Haspelkette - links</v>
      </c>
    </row>
    <row r="4" spans="1:47" ht="19.5" thickBot="1">
      <c r="A4" s="5"/>
      <c r="B4" s="10" t="s">
        <v>14</v>
      </c>
      <c r="C4" s="10"/>
      <c r="H4" s="11"/>
      <c r="I4" s="11"/>
      <c r="J4" s="4"/>
      <c r="X4" s="178">
        <f>AG119</f>
        <v>0</v>
      </c>
      <c r="Y4" s="178"/>
      <c r="Z4" s="178"/>
      <c r="AA4" s="178"/>
      <c r="AB4" s="179"/>
      <c r="AD4" s="13" t="s">
        <v>3</v>
      </c>
      <c r="AE4" s="14">
        <v>2</v>
      </c>
      <c r="AF4" s="4"/>
      <c r="AG4" t="str">
        <f>VLOOKUP(AH4,AH4:AR97,$AE$1,FALSE)</f>
        <v>Lichte Höhe</v>
      </c>
      <c r="AH4" t="s">
        <v>32</v>
      </c>
      <c r="AI4" t="s">
        <v>33</v>
      </c>
      <c r="AJ4" t="s">
        <v>34</v>
      </c>
      <c r="AK4" t="s">
        <v>35</v>
      </c>
      <c r="AL4" t="s">
        <v>36</v>
      </c>
      <c r="AM4" t="s">
        <v>37</v>
      </c>
      <c r="AN4" t="s">
        <v>38</v>
      </c>
      <c r="AO4" t="s">
        <v>39</v>
      </c>
      <c r="AP4" t="s">
        <v>40</v>
      </c>
      <c r="AU4" t="str">
        <f>$AG$109</f>
        <v>Antrieb - rechts</v>
      </c>
    </row>
    <row r="5" spans="1:47" ht="19.5" customHeight="1" thickBot="1">
      <c r="A5" s="5"/>
      <c r="B5" s="15" t="s">
        <v>41</v>
      </c>
      <c r="C5" s="10"/>
      <c r="E5" s="12" t="s">
        <v>4</v>
      </c>
      <c r="H5" s="11" t="str">
        <f>VLOOKUP(AG4,AG2:AR96,$AE$1+1,FALSE)</f>
        <v>Lichte Höhe</v>
      </c>
      <c r="I5" s="11"/>
      <c r="K5" s="12"/>
      <c r="O5" s="16" t="str">
        <f>VLOOKUP(AH99,AH99:AR175,$AE$1,FALSE)</f>
        <v>Fülen Sie bitte markierte Felder!</v>
      </c>
      <c r="X5" s="180" t="s">
        <v>42</v>
      </c>
      <c r="Y5" s="180"/>
      <c r="Z5" s="180"/>
      <c r="AA5" s="180"/>
      <c r="AB5" s="181"/>
      <c r="AD5" s="13" t="s">
        <v>4</v>
      </c>
      <c r="AE5" s="14">
        <v>3</v>
      </c>
      <c r="AF5" s="4"/>
      <c r="AG5" t="str">
        <f>VLOOKUP(AH5,AH5:AR96,$AE$1,FALSE)</f>
        <v>INNENANSICHT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U5" t="str">
        <f>$AG$108</f>
        <v>Antrieb - links</v>
      </c>
    </row>
    <row r="6" spans="1:47" ht="23.25" customHeight="1" thickBot="1">
      <c r="A6" s="5"/>
      <c r="B6" s="15" t="s">
        <v>52</v>
      </c>
      <c r="C6" s="10"/>
      <c r="J6" s="4"/>
      <c r="X6" s="17"/>
      <c r="Y6" s="17"/>
      <c r="Z6" s="17"/>
      <c r="AB6" s="5"/>
      <c r="AD6" s="13" t="s">
        <v>5</v>
      </c>
      <c r="AE6" s="14">
        <v>4</v>
      </c>
      <c r="AF6" s="4"/>
      <c r="AG6" t="str">
        <f>VLOOKUP(AH6,AH6:AR100,$AE$1,FALSE)</f>
        <v>DURCHSCHNITT A-A</v>
      </c>
      <c r="AH6" t="s">
        <v>53</v>
      </c>
      <c r="AI6" t="s">
        <v>54</v>
      </c>
      <c r="AJ6" t="s">
        <v>55</v>
      </c>
      <c r="AK6" t="s">
        <v>56</v>
      </c>
      <c r="AL6" t="s">
        <v>57</v>
      </c>
      <c r="AM6" t="s">
        <v>58</v>
      </c>
      <c r="AN6" t="s">
        <v>59</v>
      </c>
      <c r="AO6" t="s">
        <v>60</v>
      </c>
      <c r="AP6" t="s">
        <v>61</v>
      </c>
    </row>
    <row r="7" spans="1:47" ht="19.5" thickBot="1">
      <c r="A7" s="5"/>
      <c r="B7" s="15" t="s">
        <v>62</v>
      </c>
      <c r="C7" s="15"/>
      <c r="H7" s="11" t="str">
        <f>VLOOKUP(AG101,AG8:AR101,$AE$1+1,FALSE)</f>
        <v>Bedienung</v>
      </c>
      <c r="K7" s="182"/>
      <c r="L7" s="182"/>
      <c r="M7" s="182"/>
      <c r="N7" s="182"/>
      <c r="O7" s="11"/>
      <c r="P7" s="11"/>
      <c r="R7" s="183"/>
      <c r="S7" s="183"/>
      <c r="X7" s="17"/>
      <c r="Y7" s="17"/>
      <c r="Z7" s="17"/>
      <c r="AB7" s="5"/>
      <c r="AD7" s="13" t="s">
        <v>6</v>
      </c>
      <c r="AE7" s="18">
        <v>5</v>
      </c>
      <c r="AF7" s="4"/>
      <c r="AG7" t="str">
        <f>VLOOKUP(AH7,AH7:AR100,$AE$1,FALSE)</f>
        <v>DURCHSCHNITT B-B</v>
      </c>
      <c r="AH7" t="s">
        <v>63</v>
      </c>
      <c r="AI7" t="s">
        <v>64</v>
      </c>
      <c r="AJ7" t="s">
        <v>65</v>
      </c>
      <c r="AK7" t="s">
        <v>66</v>
      </c>
      <c r="AL7" t="s">
        <v>67</v>
      </c>
      <c r="AM7" t="s">
        <v>68</v>
      </c>
      <c r="AN7" t="s">
        <v>69</v>
      </c>
      <c r="AO7" t="s">
        <v>70</v>
      </c>
      <c r="AP7" t="s">
        <v>71</v>
      </c>
    </row>
    <row r="8" spans="1:47" ht="19.5" thickBot="1">
      <c r="A8" s="5"/>
      <c r="B8" s="15" t="s">
        <v>19</v>
      </c>
      <c r="C8" s="15"/>
      <c r="D8" s="16"/>
      <c r="E8" s="16"/>
      <c r="F8" s="16"/>
      <c r="G8" s="19"/>
      <c r="X8" s="17"/>
      <c r="Y8" s="17"/>
      <c r="Z8" s="17"/>
      <c r="AB8" s="5"/>
      <c r="AD8" s="13" t="s">
        <v>7</v>
      </c>
      <c r="AE8" s="18">
        <v>6</v>
      </c>
      <c r="AG8" t="str">
        <f>VLOOKUP(AH8,AH8:AR101,$AE$1,FALSE)</f>
        <v>ACHTUNG:</v>
      </c>
      <c r="AH8" t="s">
        <v>72</v>
      </c>
      <c r="AI8" t="s">
        <v>73</v>
      </c>
      <c r="AJ8" t="s">
        <v>74</v>
      </c>
      <c r="AK8" t="s">
        <v>75</v>
      </c>
      <c r="AL8" t="s">
        <v>76</v>
      </c>
      <c r="AM8" t="s">
        <v>77</v>
      </c>
      <c r="AN8" t="s">
        <v>78</v>
      </c>
      <c r="AO8" t="s">
        <v>79</v>
      </c>
      <c r="AP8" t="s">
        <v>80</v>
      </c>
    </row>
    <row r="9" spans="1:47" ht="19.5" thickBot="1">
      <c r="A9" s="5"/>
      <c r="B9" s="15" t="s">
        <v>20</v>
      </c>
      <c r="C9" s="15"/>
      <c r="D9" s="16"/>
      <c r="E9" s="16"/>
      <c r="F9" s="16"/>
      <c r="G9" s="19"/>
      <c r="H9" s="11" t="str">
        <f>AG120</f>
        <v>Paneel-Typ</v>
      </c>
      <c r="K9" s="182"/>
      <c r="L9" s="182"/>
      <c r="M9" s="182"/>
      <c r="P9" s="11" t="str">
        <f>VLOOKUP($AG$6,$AG$2:$AR$96,$AE$1+1,FALSE)</f>
        <v>DURCHSCHNITT A-A</v>
      </c>
      <c r="X9" s="17"/>
      <c r="Y9" s="17"/>
      <c r="Z9" s="17"/>
      <c r="AB9" s="5"/>
      <c r="AD9" s="13" t="s">
        <v>8</v>
      </c>
      <c r="AE9" s="18">
        <v>7</v>
      </c>
    </row>
    <row r="10" spans="1:47" ht="19.5" thickBot="1">
      <c r="A10" s="5"/>
      <c r="B10" s="15" t="s">
        <v>21</v>
      </c>
      <c r="C10" s="15"/>
      <c r="N10" s="20" t="str">
        <f>IF(OR(K5="",K7=""),"D","D = ")</f>
        <v>D</v>
      </c>
      <c r="O10" s="21" t="str">
        <f>L60</f>
        <v/>
      </c>
      <c r="S10" s="11"/>
      <c r="T10" s="22"/>
      <c r="AB10" s="5"/>
      <c r="AD10" s="13" t="s">
        <v>9</v>
      </c>
      <c r="AE10" s="18">
        <v>8</v>
      </c>
    </row>
    <row r="11" spans="1:47" ht="19.5" thickBot="1">
      <c r="B11" s="23"/>
      <c r="H11" s="11"/>
      <c r="K11" s="4"/>
      <c r="L11" s="4"/>
      <c r="M11" s="4"/>
      <c r="N11" s="169" t="str">
        <f>IF(K5="","S","S= "&amp;P64)</f>
        <v>S</v>
      </c>
      <c r="O11" s="169"/>
      <c r="P11" s="11"/>
      <c r="R11" s="4"/>
      <c r="S11" s="4"/>
      <c r="T11" s="22"/>
      <c r="AB11" s="5"/>
      <c r="AD11" s="13" t="s">
        <v>10</v>
      </c>
      <c r="AE11" s="18">
        <v>9</v>
      </c>
    </row>
    <row r="12" spans="1:47" ht="18.75">
      <c r="B12" s="23"/>
      <c r="D12" s="170"/>
      <c r="E12" s="170"/>
      <c r="F12" s="170"/>
      <c r="H12" s="24"/>
      <c r="K12" s="25"/>
      <c r="L12" s="25"/>
      <c r="M12" s="25"/>
      <c r="N12" s="25"/>
      <c r="O12" s="26" t="str">
        <f>IF(K5="","X","X= "&amp;K5)</f>
        <v>X</v>
      </c>
      <c r="P12" s="25"/>
      <c r="Q12" s="25"/>
      <c r="R12" s="25"/>
      <c r="S12" s="25"/>
      <c r="T12" s="22"/>
      <c r="AB12" s="5"/>
    </row>
    <row r="13" spans="1:47" ht="18.75">
      <c r="B13" s="27"/>
      <c r="C13" s="24"/>
      <c r="E13" s="171"/>
      <c r="F13" s="171"/>
      <c r="G13" s="24"/>
      <c r="H13" s="24"/>
      <c r="L13" s="25"/>
      <c r="M13" s="25"/>
      <c r="N13" s="25"/>
      <c r="O13" s="20" t="str">
        <f>IF(K5="","Y","Y")</f>
        <v>Y</v>
      </c>
      <c r="P13" s="28" t="str">
        <f>IF(K5="","",IF(O10&lt;3000,0,IF(AND(O10&gt;=3000,O10&lt;=4500),"="&amp;L65,IF(OR(O10&gt;=4500),"= "&amp;L68,""))))</f>
        <v/>
      </c>
      <c r="R13" s="25"/>
      <c r="S13" s="164"/>
      <c r="AB13" s="5"/>
      <c r="AG13" t="str">
        <f>VLOOKUP(AH13,AH13:AR105,$AE$1,FALSE)</f>
        <v>NIEDRIGSTURZ BESCHLAG (LL-DT)</v>
      </c>
      <c r="AH13" t="s">
        <v>81</v>
      </c>
      <c r="AI13" t="s">
        <v>82</v>
      </c>
      <c r="AJ13" t="s">
        <v>83</v>
      </c>
      <c r="AK13" t="s">
        <v>84</v>
      </c>
      <c r="AL13" t="s">
        <v>85</v>
      </c>
      <c r="AM13" t="s">
        <v>86</v>
      </c>
      <c r="AN13" t="s">
        <v>87</v>
      </c>
      <c r="AO13" t="s">
        <v>88</v>
      </c>
      <c r="AP13" t="s">
        <v>89</v>
      </c>
    </row>
    <row r="14" spans="1:47" ht="15" customHeight="1">
      <c r="B14" s="23"/>
      <c r="E14" s="171" t="str">
        <f>VLOOKUP(AG5,AG2:AR96,$AE$1+1,FALSE)</f>
        <v>INNENANSICHT</v>
      </c>
      <c r="F14" s="171"/>
      <c r="G14" s="171"/>
      <c r="P14" s="172"/>
      <c r="Q14" s="173" t="str">
        <f>IF(K5="","",IF(O10&gt;=4500,"= " &amp; L69,""))</f>
        <v/>
      </c>
      <c r="R14" s="173"/>
      <c r="S14" s="164"/>
      <c r="AB14" s="5"/>
      <c r="AG14" t="str">
        <f>VLOOKUP(AH14,AH14:AR106,$AE$1,FALSE)</f>
        <v>Federn oberhalb des Sturzes</v>
      </c>
      <c r="AH14" t="s">
        <v>90</v>
      </c>
      <c r="AI14" t="s">
        <v>91</v>
      </c>
      <c r="AJ14" t="s">
        <v>92</v>
      </c>
      <c r="AK14" t="s">
        <v>93</v>
      </c>
      <c r="AL14" t="s">
        <v>94</v>
      </c>
      <c r="AM14" t="s">
        <v>95</v>
      </c>
      <c r="AN14" t="s">
        <v>96</v>
      </c>
      <c r="AO14" t="s">
        <v>97</v>
      </c>
      <c r="AP14" t="s">
        <v>98</v>
      </c>
    </row>
    <row r="15" spans="1:47">
      <c r="B15" s="23"/>
      <c r="P15" s="172"/>
      <c r="Q15" s="173"/>
      <c r="R15" s="173"/>
      <c r="S15" s="164"/>
      <c r="AB15" s="5"/>
      <c r="AG15" t="str">
        <f>VLOOKUP(AH15,AH15:AR107,$AE$1,FALSE)</f>
        <v>pro HL&gt;600 und HL&lt;=1200</v>
      </c>
      <c r="AH15" t="s">
        <v>99</v>
      </c>
      <c r="AI15" t="s">
        <v>100</v>
      </c>
      <c r="AJ15" t="s">
        <v>101</v>
      </c>
      <c r="AK15" t="s">
        <v>102</v>
      </c>
      <c r="AL15" t="s">
        <v>103</v>
      </c>
      <c r="AM15" t="s">
        <v>104</v>
      </c>
      <c r="AN15" t="s">
        <v>105</v>
      </c>
      <c r="AO15" t="s">
        <v>106</v>
      </c>
      <c r="AP15" t="s">
        <v>107</v>
      </c>
    </row>
    <row r="16" spans="1:47" ht="15" customHeight="1">
      <c r="B16" s="161"/>
      <c r="C16" s="162"/>
      <c r="I16" s="29"/>
      <c r="S16" s="163"/>
      <c r="T16" s="30"/>
      <c r="U16" s="30"/>
      <c r="AB16" s="5"/>
      <c r="AG16" t="str">
        <f>VLOOKUP(AH16,AH16:AR108,$AE$1,FALSE)</f>
        <v>Paneel 40 mm</v>
      </c>
      <c r="AH16" t="s">
        <v>108</v>
      </c>
      <c r="AI16" t="s">
        <v>109</v>
      </c>
      <c r="AJ16" t="s">
        <v>110</v>
      </c>
      <c r="AK16" t="s">
        <v>111</v>
      </c>
      <c r="AL16" t="s">
        <v>112</v>
      </c>
      <c r="AM16" t="s">
        <v>113</v>
      </c>
      <c r="AN16" t="s">
        <v>110</v>
      </c>
      <c r="AO16" t="s">
        <v>114</v>
      </c>
      <c r="AP16" t="s">
        <v>115</v>
      </c>
    </row>
    <row r="17" spans="1:61" ht="15" customHeight="1">
      <c r="B17" s="161"/>
      <c r="C17" s="162"/>
      <c r="H17" s="29"/>
      <c r="I17" s="29"/>
      <c r="S17" s="163"/>
      <c r="T17" s="30"/>
      <c r="U17" s="30"/>
      <c r="AB17" s="5"/>
      <c r="AG17" t="str">
        <f>VLOOKUP(AH17,AH17:AR109,$AE$1,FALSE)</f>
        <v>Max. W x H 5000x5000, max. 24 m2 (300 kg)</v>
      </c>
      <c r="AH17" t="s">
        <v>116</v>
      </c>
      <c r="AI17" t="s">
        <v>116</v>
      </c>
      <c r="AJ17" t="s">
        <v>116</v>
      </c>
      <c r="AK17" t="s">
        <v>116</v>
      </c>
      <c r="AL17" t="s">
        <v>116</v>
      </c>
      <c r="AM17" t="s">
        <v>117</v>
      </c>
      <c r="AN17" t="s">
        <v>117</v>
      </c>
      <c r="AO17" t="s">
        <v>117</v>
      </c>
      <c r="AP17" t="s">
        <v>118</v>
      </c>
    </row>
    <row r="18" spans="1:61" ht="15" customHeight="1">
      <c r="B18" s="161"/>
      <c r="C18" s="162"/>
      <c r="H18" s="29"/>
      <c r="I18" s="29"/>
      <c r="S18" s="163"/>
      <c r="T18" s="164"/>
      <c r="U18" s="30"/>
      <c r="AB18" s="5"/>
    </row>
    <row r="19" spans="1:61" ht="15" customHeight="1">
      <c r="B19" s="161"/>
      <c r="H19" s="29"/>
      <c r="I19" s="165"/>
      <c r="J19" s="165"/>
      <c r="S19" s="166"/>
      <c r="T19" s="164"/>
      <c r="U19" s="30"/>
      <c r="AB19" s="5"/>
    </row>
    <row r="20" spans="1:61" ht="29.25" customHeight="1">
      <c r="A20" t="s">
        <v>119</v>
      </c>
      <c r="B20" s="161"/>
      <c r="C20" s="157"/>
      <c r="I20" s="31"/>
      <c r="J20" s="167" t="str">
        <f>$AG$118</f>
        <v>Rechteckigerohre 80x40x2 (verzinkt) ist ein Lieferungsbestandteil. Er muss fest an die Decke in drei Punkten befestigt werden, (beim Torblatt bis 10 m2 reichen 2 Punkte).</v>
      </c>
      <c r="K20" s="167"/>
      <c r="L20" s="167"/>
      <c r="M20" s="167"/>
      <c r="N20" s="167"/>
      <c r="O20" s="167"/>
      <c r="S20" s="166"/>
      <c r="T20" s="164"/>
      <c r="U20" s="30"/>
      <c r="AB20" s="5"/>
    </row>
    <row r="21" spans="1:61" ht="47.25" customHeight="1">
      <c r="B21" s="33"/>
      <c r="C21" s="157"/>
      <c r="H21" s="34"/>
      <c r="I21" s="35"/>
      <c r="J21" t="str">
        <f xml:space="preserve"> "(1) " &amp; $AG$38</f>
        <v>(1) BENÖTIGTER FREIRAUM</v>
      </c>
      <c r="S21" s="166"/>
      <c r="T21" s="168"/>
      <c r="U21" s="168"/>
      <c r="AB21" s="5"/>
      <c r="AG21" t="str">
        <f>VLOOKUP(AH21,AH21:AR113,$AE$1,FALSE)</f>
        <v>Montage auf Mauerwerk und Ziegel</v>
      </c>
      <c r="AH21" t="s">
        <v>120</v>
      </c>
      <c r="AI21" t="s">
        <v>121</v>
      </c>
      <c r="AJ21" t="s">
        <v>122</v>
      </c>
      <c r="AK21" t="s">
        <v>123</v>
      </c>
      <c r="AL21" t="s">
        <v>124</v>
      </c>
      <c r="AM21" t="s">
        <v>125</v>
      </c>
      <c r="AN21" t="s">
        <v>126</v>
      </c>
      <c r="AO21" t="s">
        <v>127</v>
      </c>
      <c r="AP21" t="s">
        <v>128</v>
      </c>
      <c r="BI21" s="36"/>
    </row>
    <row r="22" spans="1:61" ht="15.75">
      <c r="B22" s="33"/>
      <c r="C22" s="32"/>
      <c r="H22" s="34"/>
      <c r="J22" s="37"/>
      <c r="K22" s="37"/>
      <c r="L22" s="37"/>
      <c r="M22" s="37"/>
      <c r="N22" s="37"/>
      <c r="S22" s="166"/>
      <c r="T22" s="164"/>
      <c r="U22" s="38"/>
      <c r="Y22" s="17" t="str">
        <f>VLOOKUP(AG21,AG2:AR96,$AE$1+1,FALSE)</f>
        <v>Montage auf Mauerwerk und Ziegel</v>
      </c>
      <c r="Z22" s="17"/>
      <c r="AB22" s="5"/>
      <c r="AG22" t="str">
        <f>VLOOKUP(AH22,AH22:AR114,$AE$1,FALSE)</f>
        <v>Montage auf Porenbeton oder Gasbeton</v>
      </c>
      <c r="AH22" t="s">
        <v>129</v>
      </c>
      <c r="AI22" t="s">
        <v>130</v>
      </c>
      <c r="AJ22" t="s">
        <v>131</v>
      </c>
      <c r="AK22" t="s">
        <v>132</v>
      </c>
      <c r="AL22" t="s">
        <v>133</v>
      </c>
      <c r="AM22" t="s">
        <v>134</v>
      </c>
      <c r="AN22" t="s">
        <v>135</v>
      </c>
      <c r="AO22" t="s">
        <v>136</v>
      </c>
      <c r="AP22" t="s">
        <v>137</v>
      </c>
    </row>
    <row r="23" spans="1:61" ht="15.75" customHeight="1">
      <c r="B23" s="156"/>
      <c r="C23" s="32"/>
      <c r="I23" s="39"/>
      <c r="J23" t="str">
        <f>IF(K7=AU1,"","(2) "&amp;$AG$49)</f>
        <v xml:space="preserve">(2) Benötigter Freiraum bei Elektro- oder Haspelkettenbedienung </v>
      </c>
      <c r="S23" s="166"/>
      <c r="T23" s="164"/>
      <c r="U23" s="38"/>
      <c r="Y23" s="17"/>
      <c r="Z23" s="17"/>
      <c r="AB23" s="5"/>
      <c r="AG23" t="str">
        <f>VLOOKUP(AH23,AH23:AR115,$AE$1,FALSE)</f>
        <v>Montage auf ISO-Trapezblechfassade</v>
      </c>
      <c r="AH23" t="s">
        <v>138</v>
      </c>
      <c r="AI23" t="s">
        <v>139</v>
      </c>
      <c r="AJ23" t="s">
        <v>140</v>
      </c>
      <c r="AK23" t="s">
        <v>141</v>
      </c>
      <c r="AL23" t="s">
        <v>142</v>
      </c>
      <c r="AM23" t="s">
        <v>143</v>
      </c>
      <c r="AN23" t="s">
        <v>144</v>
      </c>
      <c r="AO23" t="s">
        <v>145</v>
      </c>
      <c r="AP23" t="s">
        <v>146</v>
      </c>
    </row>
    <row r="24" spans="1:61" ht="15.75" customHeight="1">
      <c r="B24" s="156"/>
      <c r="C24" s="32"/>
      <c r="J24" s="40"/>
      <c r="K24" s="40"/>
      <c r="L24" s="40"/>
      <c r="M24" s="40"/>
      <c r="N24" s="40"/>
      <c r="S24" s="166"/>
      <c r="T24" s="164"/>
      <c r="U24" s="38"/>
      <c r="Y24" s="17"/>
      <c r="Z24" s="17"/>
      <c r="AB24" s="5"/>
    </row>
    <row r="25" spans="1:61" ht="15.75">
      <c r="B25" s="156"/>
      <c r="C25" s="32"/>
      <c r="I25" s="41"/>
      <c r="J25" t="str">
        <f>IF(OR(K7=AU1,K7=AU2,K7=AU3),"","(3) "&amp;$AG$50)</f>
        <v>(3) Montagefläche für Antriebsteuerung. Siehe Produktdokumentation für Abmessungen</v>
      </c>
      <c r="Y25" s="17"/>
      <c r="Z25" s="17"/>
      <c r="AB25" s="5"/>
    </row>
    <row r="26" spans="1:61" ht="15.75">
      <c r="A26" s="5"/>
      <c r="B26" s="42"/>
      <c r="C26" s="32"/>
      <c r="I26" s="41"/>
      <c r="J26" t="str">
        <f>IF(OR(K7=AU1,K7=AU2,K7=AU3),"","     "&amp;$AG$51)</f>
        <v xml:space="preserve">     Achse ca. 1.400 bis 1.500 mm vom Boden</v>
      </c>
      <c r="O26" s="17"/>
      <c r="P26" s="17"/>
      <c r="Q26" s="17"/>
      <c r="T26" s="38"/>
      <c r="U26" s="38"/>
      <c r="Y26" s="17"/>
      <c r="Z26" s="17"/>
      <c r="AB26" s="5"/>
      <c r="AG26" t="str">
        <f t="shared" ref="AG26:AG33" si="0">VLOOKUP(AH26,AH26:AR118,$AE$1,FALSE)</f>
        <v>VORBEREITUNGEN UND ARBEITEN DIE VOM AUFTRAGGEBER ZU ERBRINGEN SIND, AUßER BEI SCHRIFTLICHER VEREINBARUNG IM VORAUS:</v>
      </c>
      <c r="AH26" t="s">
        <v>147</v>
      </c>
      <c r="AI26" t="s">
        <v>148</v>
      </c>
      <c r="AJ26" t="s">
        <v>149</v>
      </c>
      <c r="AK26" t="s">
        <v>150</v>
      </c>
      <c r="AL26" t="s">
        <v>151</v>
      </c>
      <c r="AM26" t="s">
        <v>152</v>
      </c>
      <c r="AN26" t="s">
        <v>153</v>
      </c>
      <c r="AO26" t="s">
        <v>154</v>
      </c>
      <c r="AP26" t="s">
        <v>155</v>
      </c>
    </row>
    <row r="27" spans="1:61" ht="15.75" customHeight="1">
      <c r="A27" s="5"/>
      <c r="C27" s="32"/>
      <c r="H27" s="157"/>
      <c r="J27" s="17"/>
      <c r="K27" s="17"/>
      <c r="L27" s="17"/>
      <c r="M27" s="17"/>
      <c r="N27" s="17"/>
      <c r="O27" s="17"/>
      <c r="P27" s="17"/>
      <c r="Q27" s="17"/>
      <c r="T27" s="38"/>
      <c r="U27" s="38"/>
      <c r="Y27" s="17" t="str">
        <f>VLOOKUP(AG22,AG2:AR96,$AE$1+1,FALSE)</f>
        <v>Montage auf Porenbeton oder Gasbeton</v>
      </c>
      <c r="Z27" s="17"/>
      <c r="AB27" s="5"/>
      <c r="AG27" t="str">
        <f t="shared" si="0"/>
        <v>Bauseits:</v>
      </c>
      <c r="AH27" t="s">
        <v>156</v>
      </c>
      <c r="AI27" t="s">
        <v>157</v>
      </c>
      <c r="AJ27" t="s">
        <v>158</v>
      </c>
      <c r="AK27" t="s">
        <v>159</v>
      </c>
      <c r="AL27" t="s">
        <v>160</v>
      </c>
      <c r="AM27" t="s">
        <v>161</v>
      </c>
      <c r="AN27" t="s">
        <v>162</v>
      </c>
      <c r="AO27" t="s">
        <v>163</v>
      </c>
      <c r="AP27" t="s">
        <v>164</v>
      </c>
    </row>
    <row r="28" spans="1:61" ht="15.75" customHeight="1">
      <c r="A28" s="5"/>
      <c r="H28" s="157"/>
      <c r="I28" s="41"/>
      <c r="J28" s="43" t="str">
        <f>IF(OR(K7=AU1,K7=AU2,K7=AU3),"","(4) "&amp;$AG$52)</f>
        <v>(4) Die Parameter der Steckdosen sind in der Produktdokumentation zu finden.</v>
      </c>
      <c r="K28" s="43"/>
      <c r="L28" s="43"/>
      <c r="M28" s="43"/>
      <c r="N28" s="43"/>
      <c r="O28" s="17"/>
      <c r="P28" s="17"/>
      <c r="Q28" s="17"/>
      <c r="T28" s="38"/>
      <c r="U28" s="38"/>
      <c r="Y28" s="17"/>
      <c r="Z28" s="17"/>
      <c r="AB28" s="5"/>
      <c r="AG28" t="str">
        <f t="shared" si="0"/>
        <v>Ein stählerner Montagerahmen zur Befestigung der vertikalen Laufschienen und des Federpakets bei nicht tragfähigen Flächen wie z.B. Porenbeton, Gasbeton, Isolationspanelen u.s.w..</v>
      </c>
      <c r="AH28" t="s">
        <v>165</v>
      </c>
      <c r="AI28" t="s">
        <v>166</v>
      </c>
      <c r="AJ28" t="s">
        <v>167</v>
      </c>
      <c r="AK28" t="s">
        <v>168</v>
      </c>
      <c r="AL28" t="s">
        <v>169</v>
      </c>
      <c r="AM28" t="s">
        <v>170</v>
      </c>
      <c r="AN28" t="s">
        <v>171</v>
      </c>
      <c r="AO28" t="s">
        <v>172</v>
      </c>
      <c r="AP28" t="s">
        <v>173</v>
      </c>
    </row>
    <row r="29" spans="1:61" ht="29.25" customHeight="1">
      <c r="A29" s="5"/>
      <c r="C29" s="44"/>
      <c r="H29" s="157"/>
      <c r="O29" s="17"/>
      <c r="P29" s="17"/>
      <c r="Q29" s="17"/>
      <c r="Y29" s="17"/>
      <c r="Z29" s="17"/>
      <c r="AB29" s="5"/>
      <c r="AG29" t="str">
        <f t="shared" si="0"/>
        <v>Befestigungsmöglichkeit für die Zwischen- und Endaufhängung der horizontalen Laufschienen bis zu max. 1 m über diesen Laufschienen.</v>
      </c>
      <c r="AH29" t="s">
        <v>174</v>
      </c>
      <c r="AI29" t="s">
        <v>175</v>
      </c>
      <c r="AJ29" t="s">
        <v>176</v>
      </c>
      <c r="AK29" t="s">
        <v>177</v>
      </c>
      <c r="AL29" t="s">
        <v>178</v>
      </c>
      <c r="AM29" t="s">
        <v>179</v>
      </c>
      <c r="AN29" t="s">
        <v>180</v>
      </c>
      <c r="AO29" t="s">
        <v>181</v>
      </c>
      <c r="AP29" t="s">
        <v>182</v>
      </c>
    </row>
    <row r="30" spans="1:61" ht="15.75">
      <c r="B30" s="23"/>
      <c r="C30" s="24"/>
      <c r="H30" s="34"/>
      <c r="I30" s="17"/>
      <c r="J30" s="17" t="str">
        <f>IF(OR(L8=AV2,L8=AV3,L8=AV4),"","(5) "&amp;$AG$36)</f>
        <v/>
      </c>
      <c r="K30" s="17" t="str">
        <f>IF(OR(M8=AW2,M8=AW3,M8=AW4),"","(5) "&amp;$AG$36)</f>
        <v/>
      </c>
      <c r="L30" s="17"/>
      <c r="M30" s="17" t="str">
        <f>IF(OR(O8=AY2,O8=AY3,O8=AY4),"","(5) "&amp;$AG$36)</f>
        <v/>
      </c>
      <c r="N30" s="17" t="str">
        <f>IF(OR(P8=AZ2,P8=AZ3,P8=AZ4),"","(5) "&amp;$AG$36)</f>
        <v/>
      </c>
      <c r="O30" s="17"/>
      <c r="P30" s="17"/>
      <c r="Q30" s="17"/>
      <c r="Y30" s="17"/>
      <c r="Z30" s="17"/>
      <c r="AB30" s="5"/>
      <c r="AG30" t="str">
        <f t="shared" si="0"/>
        <v>Benötigte Montageflächen und Freiräume gemäß Zeichnung.</v>
      </c>
      <c r="AH30" t="s">
        <v>183</v>
      </c>
      <c r="AI30" t="s">
        <v>184</v>
      </c>
      <c r="AJ30" t="s">
        <v>185</v>
      </c>
      <c r="AK30" t="s">
        <v>186</v>
      </c>
      <c r="AL30" t="s">
        <v>187</v>
      </c>
      <c r="AM30" t="s">
        <v>188</v>
      </c>
      <c r="AN30" t="s">
        <v>189</v>
      </c>
      <c r="AO30" t="s">
        <v>190</v>
      </c>
      <c r="AP30" t="s">
        <v>191</v>
      </c>
    </row>
    <row r="31" spans="1:61" ht="17.25" customHeight="1">
      <c r="B31" s="23"/>
      <c r="I31" s="45"/>
      <c r="O31" s="45"/>
      <c r="P31" s="45"/>
      <c r="Q31" s="45"/>
      <c r="Y31" s="17"/>
      <c r="Z31" s="17"/>
      <c r="AB31" s="5"/>
      <c r="AG31" t="str">
        <f t="shared" si="0"/>
        <v>Elektrisch (bei elektrisch bedienten Toren):</v>
      </c>
      <c r="AH31" t="s">
        <v>192</v>
      </c>
      <c r="AI31" t="s">
        <v>193</v>
      </c>
      <c r="AJ31" t="s">
        <v>194</v>
      </c>
      <c r="AK31" t="s">
        <v>195</v>
      </c>
      <c r="AL31" t="s">
        <v>196</v>
      </c>
      <c r="AM31" t="s">
        <v>197</v>
      </c>
      <c r="AN31" t="s">
        <v>198</v>
      </c>
      <c r="AO31" t="s">
        <v>199</v>
      </c>
      <c r="AP31" t="s">
        <v>200</v>
      </c>
    </row>
    <row r="32" spans="1:61" ht="15.75" customHeight="1">
      <c r="B32" s="23"/>
      <c r="I32" s="45"/>
      <c r="J32" t="str">
        <f>IF(OR(K14=AU8,K14=AU9,K14=AU10),"","(4) "&amp;$AG$52)</f>
        <v/>
      </c>
      <c r="O32" s="45"/>
      <c r="P32" s="45"/>
      <c r="Q32" s="45"/>
      <c r="Y32" s="158" t="str">
        <f>VLOOKUP(AG23,AG2:AR96,$AE$1+1,FALSE)</f>
        <v>Montage auf ISO-Trapezblechfassade</v>
      </c>
      <c r="Z32" s="158"/>
      <c r="AA32" s="158"/>
      <c r="AB32" s="5"/>
      <c r="AG32" t="str">
        <f t="shared" si="0"/>
        <v>Stromzufuhr 400V/230V mittels Eurosteckdose, 3 Phasen+0+PE max.1 meter vom Schaltkasten.</v>
      </c>
      <c r="AH32" t="s">
        <v>201</v>
      </c>
      <c r="AI32" t="s">
        <v>202</v>
      </c>
      <c r="AJ32" t="s">
        <v>203</v>
      </c>
      <c r="AK32" t="s">
        <v>204</v>
      </c>
      <c r="AL32" t="s">
        <v>205</v>
      </c>
      <c r="AM32" t="s">
        <v>206</v>
      </c>
      <c r="AN32" t="s">
        <v>207</v>
      </c>
      <c r="AO32" t="s">
        <v>208</v>
      </c>
      <c r="AP32" t="s">
        <v>209</v>
      </c>
    </row>
    <row r="33" spans="1:42" ht="15.75" customHeight="1">
      <c r="B33" s="46"/>
      <c r="D33" s="25"/>
      <c r="E33" s="20"/>
      <c r="H33" s="47"/>
      <c r="Q33" s="159"/>
      <c r="Y33" s="158"/>
      <c r="Z33" s="158"/>
      <c r="AA33" s="158"/>
      <c r="AB33" s="5"/>
      <c r="AG33" t="str">
        <f t="shared" si="0"/>
        <v>Montagefläche für Schaltkasten.</v>
      </c>
      <c r="AH33" t="s">
        <v>210</v>
      </c>
      <c r="AI33" t="s">
        <v>211</v>
      </c>
      <c r="AJ33" t="s">
        <v>212</v>
      </c>
      <c r="AK33" t="s">
        <v>213</v>
      </c>
      <c r="AL33" t="s">
        <v>214</v>
      </c>
      <c r="AM33" t="s">
        <v>215</v>
      </c>
      <c r="AN33" t="s">
        <v>216</v>
      </c>
      <c r="AO33" t="s">
        <v>217</v>
      </c>
      <c r="AP33" t="s">
        <v>218</v>
      </c>
    </row>
    <row r="34" spans="1:42">
      <c r="B34" s="48"/>
      <c r="E34" s="30"/>
      <c r="F34" s="153"/>
      <c r="G34" s="153"/>
      <c r="H34" s="24"/>
      <c r="I34" s="24"/>
      <c r="Q34" s="159"/>
      <c r="AB34" s="5"/>
    </row>
    <row r="35" spans="1:42">
      <c r="B35" s="23"/>
      <c r="Q35" s="49"/>
      <c r="AB35" s="5"/>
    </row>
    <row r="36" spans="1:42">
      <c r="B36" s="23"/>
      <c r="AB36" s="5"/>
      <c r="AG36" t="str">
        <f>VLOOKUP(AH36,AH36:AR128,$AE$1,FALSE)</f>
        <v>BENÖTIGTER MONTAGEFLÄCHEN</v>
      </c>
      <c r="AH36" t="s">
        <v>219</v>
      </c>
      <c r="AI36" t="s">
        <v>220</v>
      </c>
      <c r="AJ36" t="s">
        <v>221</v>
      </c>
      <c r="AK36" t="s">
        <v>222</v>
      </c>
      <c r="AL36" t="s">
        <v>223</v>
      </c>
      <c r="AM36" t="s">
        <v>224</v>
      </c>
      <c r="AN36" t="s">
        <v>225</v>
      </c>
      <c r="AO36" t="s">
        <v>226</v>
      </c>
      <c r="AP36" t="s">
        <v>227</v>
      </c>
    </row>
    <row r="37" spans="1:42" ht="18.75">
      <c r="B37" s="23"/>
      <c r="E37" s="160" t="str">
        <f>VLOOKUP(AG7,AG2:AR96,$AE$1+1,FALSE)</f>
        <v>DURCHSCHNITT B-B</v>
      </c>
      <c r="F37" s="160"/>
      <c r="AB37" s="5"/>
      <c r="AG37" t="str">
        <f>VLOOKUP(AH37,AH37:AR129,$AE$1,FALSE)</f>
        <v>MONTAGEFLÄCHE FÜR DEN MOTOR</v>
      </c>
      <c r="AH37" t="s">
        <v>228</v>
      </c>
      <c r="AI37" t="s">
        <v>229</v>
      </c>
      <c r="AJ37" t="s">
        <v>230</v>
      </c>
      <c r="AK37" t="s">
        <v>231</v>
      </c>
      <c r="AL37" t="s">
        <v>232</v>
      </c>
      <c r="AM37" t="s">
        <v>233</v>
      </c>
      <c r="AN37" t="s">
        <v>234</v>
      </c>
      <c r="AO37" t="s">
        <v>235</v>
      </c>
      <c r="AP37" t="s">
        <v>236</v>
      </c>
    </row>
    <row r="38" spans="1:42" ht="15.75">
      <c r="B38" s="23"/>
      <c r="L38" s="17" t="str">
        <f>VLOOKUP(AG42,AG2:AR96,$AE$1+1,FALSE)</f>
        <v>Bodenneigung</v>
      </c>
      <c r="Y38" s="150"/>
      <c r="Z38" s="150"/>
      <c r="AA38" s="150"/>
      <c r="AB38" s="5"/>
      <c r="AG38" t="str">
        <f>VLOOKUP(AH38,AH38:AR130,$AE$1,FALSE)</f>
        <v>BENÖTIGTER FREIRAUM</v>
      </c>
      <c r="AH38" t="s">
        <v>237</v>
      </c>
      <c r="AI38" t="s">
        <v>238</v>
      </c>
      <c r="AJ38" t="s">
        <v>239</v>
      </c>
      <c r="AK38" t="s">
        <v>240</v>
      </c>
      <c r="AL38" t="s">
        <v>241</v>
      </c>
      <c r="AM38" t="s">
        <v>242</v>
      </c>
      <c r="AN38" t="s">
        <v>243</v>
      </c>
      <c r="AO38" t="s">
        <v>244</v>
      </c>
      <c r="AP38" t="s">
        <v>245</v>
      </c>
    </row>
    <row r="39" spans="1:42" ht="15.75">
      <c r="B39" s="23"/>
      <c r="N39" s="17"/>
      <c r="Y39" s="150"/>
      <c r="Z39" s="150"/>
      <c r="AA39" s="150"/>
      <c r="AB39" s="5"/>
      <c r="AG39" t="str">
        <f>VLOOKUP(AH39,AH39:AR131,$AE$1,FALSE)</f>
        <v>EXTRA FREIRAUM FÜR MOTOR/KETTE</v>
      </c>
      <c r="AH39" t="s">
        <v>246</v>
      </c>
      <c r="AI39" t="s">
        <v>247</v>
      </c>
      <c r="AJ39" t="s">
        <v>248</v>
      </c>
      <c r="AK39" t="s">
        <v>249</v>
      </c>
      <c r="AL39" t="s">
        <v>250</v>
      </c>
      <c r="AM39" t="s">
        <v>251</v>
      </c>
      <c r="AN39" t="s">
        <v>252</v>
      </c>
      <c r="AO39" t="s">
        <v>253</v>
      </c>
      <c r="AP39" t="s">
        <v>254</v>
      </c>
    </row>
    <row r="40" spans="1:42" ht="15.75">
      <c r="B40" s="23"/>
      <c r="N40" s="17"/>
      <c r="O40" s="17"/>
      <c r="AB40" s="5"/>
    </row>
    <row r="41" spans="1:42" ht="21" customHeight="1">
      <c r="B41" s="151"/>
      <c r="N41" s="17"/>
      <c r="O41" s="17"/>
      <c r="Y41" s="152"/>
      <c r="Z41" s="152"/>
      <c r="AA41" s="152"/>
      <c r="AB41" s="5"/>
    </row>
    <row r="42" spans="1:42" ht="15.75" customHeight="1">
      <c r="B42" s="151"/>
      <c r="N42" s="17"/>
      <c r="O42" s="17"/>
      <c r="Y42" s="152"/>
      <c r="Z42" s="152"/>
      <c r="AA42" s="152"/>
      <c r="AB42" s="5"/>
      <c r="AG42" t="str">
        <f>VLOOKUP(AH42,AH42:AR134,$AE$1,FALSE)</f>
        <v>Bodenneigung</v>
      </c>
      <c r="AH42" t="s">
        <v>255</v>
      </c>
      <c r="AI42" t="s">
        <v>256</v>
      </c>
      <c r="AJ42" t="s">
        <v>257</v>
      </c>
      <c r="AK42" t="s">
        <v>258</v>
      </c>
      <c r="AL42" t="s">
        <v>259</v>
      </c>
      <c r="AM42" t="s">
        <v>260</v>
      </c>
      <c r="AN42" t="s">
        <v>261</v>
      </c>
      <c r="AO42" t="s">
        <v>262</v>
      </c>
      <c r="AP42" t="s">
        <v>263</v>
      </c>
    </row>
    <row r="43" spans="1:42" ht="15.75">
      <c r="B43" s="151"/>
      <c r="C43" s="51"/>
      <c r="O43" s="17"/>
      <c r="AB43" s="5"/>
      <c r="AG43" t="str">
        <f>VLOOKUP(AH43,AH43:AR135,$AE$1,FALSE)</f>
        <v>nach aussen</v>
      </c>
      <c r="AH43" t="s">
        <v>264</v>
      </c>
      <c r="AI43" t="s">
        <v>265</v>
      </c>
      <c r="AJ43" t="s">
        <v>266</v>
      </c>
      <c r="AK43" t="s">
        <v>267</v>
      </c>
      <c r="AL43" t="str">
        <f>""</f>
        <v/>
      </c>
      <c r="AM43" t="s">
        <v>268</v>
      </c>
      <c r="AN43" t="s">
        <v>269</v>
      </c>
      <c r="AO43" t="s">
        <v>270</v>
      </c>
    </row>
    <row r="44" spans="1:42" ht="15.75">
      <c r="B44" s="23"/>
      <c r="E44" s="30"/>
      <c r="F44" s="153"/>
      <c r="G44" s="153"/>
      <c r="N44" s="17"/>
      <c r="O44" s="17"/>
      <c r="AB44" s="5"/>
      <c r="AG44" t="str">
        <f>VLOOKUP(AH44,AH44:AR136,$AE$1,FALSE)</f>
        <v>Gefälle 3%</v>
      </c>
      <c r="AH44" t="s">
        <v>271</v>
      </c>
      <c r="AI44" t="s">
        <v>272</v>
      </c>
      <c r="AJ44" t="s">
        <v>273</v>
      </c>
      <c r="AK44" t="s">
        <v>274</v>
      </c>
      <c r="AL44" t="s">
        <v>275</v>
      </c>
      <c r="AM44" t="s">
        <v>276</v>
      </c>
      <c r="AN44" t="s">
        <v>277</v>
      </c>
      <c r="AO44" t="s">
        <v>278</v>
      </c>
      <c r="AP44" t="s">
        <v>279</v>
      </c>
    </row>
    <row r="45" spans="1:42" ht="15.75">
      <c r="B45" s="23"/>
      <c r="L45" s="17"/>
      <c r="N45" s="17"/>
      <c r="O45" s="17"/>
      <c r="AB45" s="5"/>
      <c r="AG45" t="str">
        <f>VLOOKUP(AH45,AH45:AR137,$AE$1,FALSE)</f>
        <v>Wasserschenkel</v>
      </c>
      <c r="AH45" t="s">
        <v>264</v>
      </c>
      <c r="AI45" t="s">
        <v>280</v>
      </c>
      <c r="AJ45" t="s">
        <v>281</v>
      </c>
      <c r="AK45" t="s">
        <v>267</v>
      </c>
      <c r="AL45" t="s">
        <v>259</v>
      </c>
      <c r="AM45" t="s">
        <v>282</v>
      </c>
      <c r="AN45" t="s">
        <v>283</v>
      </c>
      <c r="AO45" t="s">
        <v>284</v>
      </c>
    </row>
    <row r="46" spans="1:42" ht="15.75">
      <c r="B46" s="23"/>
      <c r="N46" s="17"/>
      <c r="O46" s="17"/>
      <c r="R46" s="52" t="str">
        <f>VLOOKUP(AG36,AG2:AR96,$AE$1+1,FALSE)</f>
        <v>BENÖTIGTER MONTAGEFLÄCHEN</v>
      </c>
      <c r="S46" s="52"/>
      <c r="T46" s="52"/>
      <c r="U46" s="52"/>
      <c r="V46" s="52"/>
      <c r="W46" s="52"/>
      <c r="X46" s="52" t="str">
        <f>VLOOKUP(AG38,AG4:AR97,$AE$1+1,FALSE)</f>
        <v>BENÖTIGTER FREIRAUM</v>
      </c>
      <c r="Y46" s="52"/>
      <c r="Z46" s="52"/>
      <c r="AA46" s="52"/>
      <c r="AB46" s="5"/>
      <c r="AG46" t="str">
        <f>VLOOKUP(AH46,AH46:AR138,$AE$1,FALSE)</f>
        <v>Boden mit</v>
      </c>
      <c r="AH46" t="s">
        <v>255</v>
      </c>
      <c r="AI46" t="s">
        <v>285</v>
      </c>
      <c r="AJ46" t="s">
        <v>286</v>
      </c>
      <c r="AK46" t="s">
        <v>258</v>
      </c>
      <c r="AL46" t="str">
        <f>""</f>
        <v/>
      </c>
      <c r="AM46" t="s">
        <v>287</v>
      </c>
      <c r="AN46" t="s">
        <v>288</v>
      </c>
      <c r="AO46" t="s">
        <v>289</v>
      </c>
      <c r="AP46" t="s">
        <v>290</v>
      </c>
    </row>
    <row r="47" spans="1:42" ht="15.75">
      <c r="B47" s="23"/>
      <c r="O47" s="17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"/>
    </row>
    <row r="48" spans="1:42">
      <c r="A48" s="5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"/>
    </row>
    <row r="49" spans="1:43">
      <c r="A49" s="5"/>
      <c r="AB49" s="5"/>
      <c r="AG49" t="str">
        <f>VLOOKUP(AH49,AH49:AR141,$AE$1,FALSE)</f>
        <v xml:space="preserve">Benötigter Freiraum bei Elektro- oder Haspelkettenbedienung </v>
      </c>
      <c r="AH49" t="s">
        <v>291</v>
      </c>
      <c r="AI49" t="s">
        <v>292</v>
      </c>
      <c r="AJ49" t="s">
        <v>293</v>
      </c>
      <c r="AK49" t="s">
        <v>294</v>
      </c>
      <c r="AL49" t="s">
        <v>295</v>
      </c>
      <c r="AM49" t="s">
        <v>296</v>
      </c>
      <c r="AN49" t="s">
        <v>297</v>
      </c>
      <c r="AO49" t="s">
        <v>298</v>
      </c>
      <c r="AP49" t="s">
        <v>299</v>
      </c>
    </row>
    <row r="50" spans="1:43" ht="15.75">
      <c r="A50" s="5"/>
      <c r="B50" s="17" t="str">
        <f>VLOOKUP(AG8,AG2:AR96,$AE$1+1,FALSE)</f>
        <v>ACHTUNG:</v>
      </c>
      <c r="C50" s="17"/>
      <c r="D50" s="17"/>
      <c r="E50" s="17"/>
      <c r="F50" s="17"/>
      <c r="G50" s="17"/>
      <c r="H50" s="17"/>
      <c r="I50" s="17"/>
      <c r="J50" s="17"/>
      <c r="K50" s="17"/>
      <c r="R50" s="154" t="str">
        <f>VLOOKUP(AG26,AG2:AR96,$AE$1+1,FALSE)</f>
        <v>VORBEREITUNGEN UND ARBEITEN DIE VOM AUFTRAGGEBER ZU ERBRINGEN SIND, AUßER BEI SCHRIFTLICHER VEREINBARUNG IM VORAUS:</v>
      </c>
      <c r="S50" s="154"/>
      <c r="T50" s="154"/>
      <c r="U50" s="154"/>
      <c r="V50" s="154"/>
      <c r="W50" s="154"/>
      <c r="X50" s="154"/>
      <c r="Y50" s="154"/>
      <c r="Z50" s="154"/>
      <c r="AA50" s="154"/>
      <c r="AB50" s="155"/>
      <c r="AG50" t="str">
        <f>VLOOKUP(AH50,AH50:AR142,$AE$1,FALSE)</f>
        <v>Montagefläche für Antriebsteuerung. Siehe Produktdokumentation für Abmessungen</v>
      </c>
      <c r="AH50" t="s">
        <v>300</v>
      </c>
      <c r="AI50" t="s">
        <v>301</v>
      </c>
      <c r="AJ50" t="s">
        <v>302</v>
      </c>
      <c r="AK50" t="s">
        <v>303</v>
      </c>
      <c r="AL50" t="s">
        <v>304</v>
      </c>
      <c r="AM50" t="s">
        <v>305</v>
      </c>
      <c r="AN50" t="s">
        <v>306</v>
      </c>
      <c r="AO50" t="s">
        <v>307</v>
      </c>
      <c r="AP50" t="s">
        <v>308</v>
      </c>
    </row>
    <row r="51" spans="1:43" ht="15.75">
      <c r="A51" s="5"/>
      <c r="B51" s="17"/>
      <c r="C51" s="17"/>
      <c r="D51" s="17"/>
      <c r="E51" s="17"/>
      <c r="F51" s="17"/>
      <c r="G51" s="17"/>
      <c r="H51" s="17"/>
      <c r="I51" s="17"/>
      <c r="J51" s="17"/>
      <c r="K51" s="17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5"/>
      <c r="AG51" t="str">
        <f>VLOOKUP(AH51,AH51:AR143,$AE$1,FALSE)</f>
        <v>Achse ca. 1.400 bis 1.500 mm vom Boden</v>
      </c>
      <c r="AH51" t="s">
        <v>309</v>
      </c>
      <c r="AI51" t="s">
        <v>310</v>
      </c>
      <c r="AJ51" t="s">
        <v>311</v>
      </c>
      <c r="AK51" t="s">
        <v>312</v>
      </c>
      <c r="AL51" t="s">
        <v>313</v>
      </c>
      <c r="AM51" t="s">
        <v>314</v>
      </c>
      <c r="AN51" t="s">
        <v>315</v>
      </c>
      <c r="AO51" t="s">
        <v>316</v>
      </c>
      <c r="AP51" t="s">
        <v>317</v>
      </c>
    </row>
    <row r="52" spans="1:43" ht="15.75">
      <c r="B52" s="53" t="str">
        <f>VLOOKUP(AG55,AG2:AR96,$AE$1+1,FALSE)</f>
        <v>Die hinteren Seiten der Sturze und Pfeiler, sowie die Montagefläche für das Federpaket müssen eben und auf einer Linie liegen.</v>
      </c>
      <c r="C52" s="17"/>
      <c r="D52" s="17"/>
      <c r="E52" s="17"/>
      <c r="F52" s="17"/>
      <c r="G52" s="17"/>
      <c r="H52" s="17"/>
      <c r="I52" s="17"/>
      <c r="J52" s="17"/>
      <c r="K52" s="17"/>
      <c r="R52" t="str">
        <f>VLOOKUP(AG27,AG2:AR96,$AE$1+1,FALSE)</f>
        <v>Bauseits:</v>
      </c>
      <c r="AB52" s="5"/>
      <c r="AG52" t="str">
        <f t="shared" ref="AG52" si="1">VLOOKUP(AH52,AH52:AR146,$AE$1,FALSE)</f>
        <v>Die Parameter der Steckdosen sind in der Produktdokumentation zu finden.</v>
      </c>
      <c r="AH52" t="s">
        <v>318</v>
      </c>
      <c r="AI52" t="s">
        <v>319</v>
      </c>
      <c r="AJ52" t="s">
        <v>320</v>
      </c>
      <c r="AK52" t="s">
        <v>321</v>
      </c>
      <c r="AL52" t="s">
        <v>322</v>
      </c>
      <c r="AM52" t="s">
        <v>323</v>
      </c>
      <c r="AN52" t="s">
        <v>324</v>
      </c>
      <c r="AO52" t="s">
        <v>325</v>
      </c>
      <c r="AP52" t="s">
        <v>326</v>
      </c>
      <c r="AQ52" t="s">
        <v>326</v>
      </c>
    </row>
    <row r="53" spans="1:43" ht="15.75">
      <c r="B53" s="53" t="str">
        <f>VLOOKUP(AG56,AG2:AR96,$AE$1+1,FALSE)</f>
        <v>Im übrigen müssen die lichten Masse eben und rechtwinklig sein.</v>
      </c>
      <c r="C53" s="17"/>
      <c r="D53" s="17"/>
      <c r="E53" s="17"/>
      <c r="F53" s="17"/>
      <c r="G53" s="17"/>
      <c r="H53" s="17"/>
      <c r="I53" s="17"/>
      <c r="J53" s="17"/>
      <c r="K53" s="17"/>
      <c r="R53" s="145" t="str">
        <f>VLOOKUP(AG28,AG2:AR96,$AE$1+1,FALSE)</f>
        <v>Ein stählerner Montagerahmen zur Befestigung der vertikalen Laufschienen und des Federpakets bei nicht tragfähigen Flächen wie z.B. Porenbeton, Gasbeton, Isolationspanelen u.s.w..</v>
      </c>
      <c r="S53" s="145"/>
      <c r="T53" s="145"/>
      <c r="U53" s="145"/>
      <c r="V53" s="145"/>
      <c r="W53" s="145"/>
      <c r="X53" s="145"/>
      <c r="Y53" s="145"/>
      <c r="Z53" s="145"/>
      <c r="AA53" s="145"/>
      <c r="AB53" s="146"/>
    </row>
    <row r="54" spans="1:43" ht="15.75" customHeight="1">
      <c r="B54" s="53" t="str">
        <f>VLOOKUP(AG57,AG2:AR96,$AE$1+1,FALSE)</f>
        <v>Der Fussboden muss glatt und waagerecht sein.</v>
      </c>
      <c r="C54" s="17"/>
      <c r="D54" s="17"/>
      <c r="E54" s="17"/>
      <c r="F54" s="17"/>
      <c r="G54" s="17"/>
      <c r="H54" s="17"/>
      <c r="I54" s="17"/>
      <c r="J54" s="17"/>
      <c r="K54" s="17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6"/>
    </row>
    <row r="55" spans="1:43" ht="16.5" thickBot="1">
      <c r="B55" s="54" t="str">
        <f>AG113</f>
        <v>Tore mit Antrieb oder Hanspelkettenantrieb müssen Seilspannvorrichtung (für Zurückziehung) der ist immer rechts montiert (es ist nicht wichtig wo Antrieb montiert ist) enthalten.</v>
      </c>
      <c r="C55" s="17"/>
      <c r="D55" s="17"/>
      <c r="E55" s="17"/>
      <c r="F55" s="17"/>
      <c r="G55" s="17"/>
      <c r="H55" s="17"/>
      <c r="I55" s="17"/>
      <c r="J55" s="17"/>
      <c r="K55" s="17"/>
      <c r="P55" s="1"/>
      <c r="R55" s="145" t="str">
        <f>VLOOKUP(AG29,AG3:AR96,$AE$1+1,FALSE)</f>
        <v>Befestigungsmöglichkeit für die Zwischen- und Endaufhängung der horizontalen Laufschienen bis zu max. 1 m über diesen Laufschienen.</v>
      </c>
      <c r="S55" s="145"/>
      <c r="T55" s="145"/>
      <c r="U55" s="145"/>
      <c r="V55" s="145"/>
      <c r="W55" s="145"/>
      <c r="X55" s="145"/>
      <c r="Y55" s="145"/>
      <c r="Z55" s="145"/>
      <c r="AA55" s="145"/>
      <c r="AB55" s="146"/>
      <c r="AG55" t="str">
        <f>VLOOKUP(AH55,AH55:AR147,$AE$1,FALSE)</f>
        <v>Die hinteren Seiten der Sturze und Pfeiler, sowie die Montagefläche für das Federpaket müssen eben und auf einer Linie liegen.</v>
      </c>
      <c r="AH55" t="s">
        <v>327</v>
      </c>
      <c r="AI55" t="s">
        <v>328</v>
      </c>
      <c r="AJ55" t="s">
        <v>329</v>
      </c>
      <c r="AK55" t="s">
        <v>330</v>
      </c>
      <c r="AL55" t="s">
        <v>331</v>
      </c>
      <c r="AM55" t="s">
        <v>332</v>
      </c>
      <c r="AN55" t="s">
        <v>333</v>
      </c>
      <c r="AO55" t="s">
        <v>334</v>
      </c>
      <c r="AP55" t="s">
        <v>335</v>
      </c>
    </row>
    <row r="56" spans="1:43" ht="15.75" thickBot="1">
      <c r="B56" s="55" t="str">
        <f>VLOOKUP(AG60,AG2:AR96,$AE$1+1,FALSE)</f>
        <v>MASSE in mm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7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6"/>
      <c r="AG56" t="str">
        <f>VLOOKUP(AH56,AH56:AR148,$AE$1,FALSE)</f>
        <v>Im übrigen müssen die lichten Masse eben und rechtwinklig sein.</v>
      </c>
      <c r="AH56" t="s">
        <v>336</v>
      </c>
      <c r="AI56" t="s">
        <v>337</v>
      </c>
      <c r="AJ56" t="s">
        <v>338</v>
      </c>
      <c r="AK56" t="s">
        <v>339</v>
      </c>
      <c r="AL56" t="s">
        <v>340</v>
      </c>
      <c r="AM56" t="s">
        <v>341</v>
      </c>
      <c r="AN56" t="s">
        <v>342</v>
      </c>
      <c r="AO56" t="s">
        <v>343</v>
      </c>
      <c r="AP56" t="s">
        <v>344</v>
      </c>
    </row>
    <row r="57" spans="1:43" ht="15.75" thickBot="1">
      <c r="B57" s="58" t="s">
        <v>345</v>
      </c>
      <c r="C57" s="1" t="str">
        <f>VLOOKUP(AG61,AG2:AR96,$AE$1+1,FALSE)</f>
        <v>Lichte Breite</v>
      </c>
      <c r="D57" s="56"/>
      <c r="E57" s="1"/>
      <c r="F57" s="57" t="str">
        <f>IF(K3="","W ","W = " &amp;K3)</f>
        <v xml:space="preserve">W </v>
      </c>
      <c r="G57" s="59" t="str">
        <f>IF(K7="",AG101 &amp; "",AG101&amp; " : " &amp; "  " &amp;K7)</f>
        <v>Bedienung</v>
      </c>
      <c r="H57" s="60"/>
      <c r="I57" s="60"/>
      <c r="J57" s="60"/>
      <c r="K57" s="59"/>
      <c r="L57" s="61"/>
      <c r="M57" s="56" t="str">
        <f>VLOOKUP(AG81,AG6:AR99,$AE$1+1,FALSE)</f>
        <v>Freiraum über Sturz</v>
      </c>
      <c r="N57" s="56"/>
      <c r="O57" s="56"/>
      <c r="P57" s="57"/>
      <c r="R57" t="str">
        <f>VLOOKUP(AG30,AG2:AR96,$AE$1+1,FALSE)</f>
        <v>Benötigte Montageflächen und Freiräume gemäß Zeichnung.</v>
      </c>
      <c r="AB57" s="5"/>
      <c r="AG57" t="str">
        <f>VLOOKUP(AH57,AH57:AR149,$AE$1,FALSE)</f>
        <v>Der Fussboden muss glatt und waagerecht sein.</v>
      </c>
      <c r="AH57" t="s">
        <v>346</v>
      </c>
      <c r="AI57" t="s">
        <v>347</v>
      </c>
      <c r="AJ57" t="s">
        <v>348</v>
      </c>
      <c r="AK57" t="s">
        <v>349</v>
      </c>
      <c r="AL57" t="s">
        <v>350</v>
      </c>
      <c r="AM57" t="s">
        <v>351</v>
      </c>
      <c r="AN57" t="s">
        <v>352</v>
      </c>
      <c r="AO57" t="s">
        <v>353</v>
      </c>
      <c r="AP57" t="s">
        <v>354</v>
      </c>
    </row>
    <row r="58" spans="1:43" ht="15.75" thickBot="1">
      <c r="B58" s="58" t="s">
        <v>355</v>
      </c>
      <c r="C58" s="1" t="str">
        <f>VLOOKUP(AG62,AG3:AR96,$AE$1+1,FALSE)</f>
        <v>Lichte Höhe</v>
      </c>
      <c r="D58" s="56"/>
      <c r="E58" s="56"/>
      <c r="F58" s="57" t="str">
        <f>IF(K5="","H ","H = " &amp;K5)</f>
        <v xml:space="preserve">H </v>
      </c>
      <c r="G58" s="58" t="str">
        <f>IF(K7="","L/R","L")</f>
        <v>L/R</v>
      </c>
      <c r="H58" s="56" t="str">
        <f>IF(K7="",$AG$123,$AG$67)</f>
        <v xml:space="preserve">Antriebseite </v>
      </c>
      <c r="I58" s="56"/>
      <c r="K58" s="56"/>
      <c r="L58" s="62" t="str">
        <f>IF(K7="","min. 400",F61)</f>
        <v>min. 400</v>
      </c>
      <c r="M58" s="58" t="s">
        <v>356</v>
      </c>
      <c r="N58" s="55"/>
      <c r="O58" s="56"/>
      <c r="P58" s="63">
        <f>IF(K9=AG122,240,200)</f>
        <v>200</v>
      </c>
      <c r="R58" t="str">
        <f>VLOOKUP(AG31,AG2:AR96,$AE$1+1,FALSE)</f>
        <v>Elektrisch (bei elektrisch bedienten Toren):</v>
      </c>
      <c r="AB58" s="5"/>
    </row>
    <row r="59" spans="1:43" ht="15.75" thickBot="1">
      <c r="A59" s="5"/>
      <c r="B59" s="58" t="s">
        <v>357</v>
      </c>
      <c r="C59" s="1" t="str">
        <f>VLOOKUP(AG65,AG5:AR98,$AE$1+1,FALSE)</f>
        <v>Freiraum über Sturz</v>
      </c>
      <c r="D59" s="56"/>
      <c r="E59" s="56"/>
      <c r="F59" s="57" t="str">
        <f>IF(K5="","F ","F = " &amp;P58)</f>
        <v xml:space="preserve">F </v>
      </c>
      <c r="G59" s="58" t="str">
        <f>IF(K7="","L/R","R")</f>
        <v>L/R</v>
      </c>
      <c r="H59" s="56" t="str">
        <f>IF(K7="",$AG$124,$AG$68)</f>
        <v xml:space="preserve">Andere Seite </v>
      </c>
      <c r="I59" s="56"/>
      <c r="J59" s="56"/>
      <c r="K59" s="56"/>
      <c r="L59" s="64" t="str">
        <f>IF(K7="","min. 160",F62)</f>
        <v>min. 160</v>
      </c>
      <c r="M59" s="147" t="str">
        <f>AG64</f>
        <v>Höhe Innenraum</v>
      </c>
      <c r="N59" s="148"/>
      <c r="O59" s="148"/>
      <c r="P59" s="149"/>
      <c r="R59" t="str">
        <f>VLOOKUP(AG52,AG2:AR96,$AE$1+1,FALSE)</f>
        <v>Die Parameter der Steckdosen sind in der Produktdokumentation zu finden.</v>
      </c>
      <c r="AB59" s="5"/>
    </row>
    <row r="60" spans="1:43" ht="15.75" thickBot="1">
      <c r="A60" s="5"/>
      <c r="B60" s="58" t="s">
        <v>358</v>
      </c>
      <c r="C60" s="56" t="str">
        <f>AG82</f>
        <v>Mitte Achse zum Sturz</v>
      </c>
      <c r="D60" s="56"/>
      <c r="E60" s="56"/>
      <c r="F60" s="57" t="str">
        <f>IF(K7="","A","A = " &amp;P62)</f>
        <v>A</v>
      </c>
      <c r="G60" s="58" t="str">
        <f>IF(G58="","","D")</f>
        <v>D</v>
      </c>
      <c r="H60" s="56" t="str">
        <f>IF(G58="","",AG78)</f>
        <v>Einbautiefe</v>
      </c>
      <c r="I60" s="56"/>
      <c r="J60" s="56"/>
      <c r="K60" s="65" t="str">
        <f>IF(K7=AG104,"H + 1095","H  + 1095")</f>
        <v>H  + 1095</v>
      </c>
      <c r="L60" s="66" t="str">
        <f>IF(OR(K5="",K7=""),"",K5+1095)</f>
        <v/>
      </c>
      <c r="M60" s="58" t="s">
        <v>359</v>
      </c>
      <c r="N60" s="56"/>
      <c r="O60" s="65" t="s">
        <v>360</v>
      </c>
      <c r="P60" s="66" t="str">
        <f>IF(OR(K3="",K5="",P58=""),"",K5+P58)</f>
        <v/>
      </c>
      <c r="AA60" s="1"/>
      <c r="AB60" s="67"/>
      <c r="AG60" t="str">
        <f t="shared" ref="AG60:AG72" si="2">VLOOKUP(AH60,AH60:AR152,$AE$1,FALSE)</f>
        <v>MASSE in mm</v>
      </c>
      <c r="AH60" t="s">
        <v>361</v>
      </c>
      <c r="AI60" t="s">
        <v>362</v>
      </c>
      <c r="AJ60" t="s">
        <v>363</v>
      </c>
      <c r="AK60" t="s">
        <v>364</v>
      </c>
      <c r="AL60" t="s">
        <v>365</v>
      </c>
      <c r="AM60" t="s">
        <v>366</v>
      </c>
      <c r="AN60" t="s">
        <v>367</v>
      </c>
      <c r="AO60" t="s">
        <v>368</v>
      </c>
      <c r="AP60" t="s">
        <v>369</v>
      </c>
    </row>
    <row r="61" spans="1:43" ht="15.75" thickBot="1">
      <c r="B61" s="68" t="s">
        <v>370</v>
      </c>
      <c r="C61" s="1" t="str">
        <f>VLOOKUP(AG67,AG7:AR100,$AE$1+1,FALSE)</f>
        <v>Freiraum LINKS</v>
      </c>
      <c r="D61" s="1"/>
      <c r="F61" s="57" t="str">
        <f>IF(OR(K3="",K7=""),"L","L = " &amp;Obrázky!$Z$16)</f>
        <v>L</v>
      </c>
      <c r="G61" s="59" t="str">
        <f>IF(OR(L60&lt;=3000,K7=""),AG79,"")</f>
        <v>Aufhängepunkte, wenn</v>
      </c>
      <c r="H61" s="59"/>
      <c r="I61" s="59" t="str">
        <f>IF(OR(L60&lt;=3000,K7=""),"D&lt;=3000","")</f>
        <v>D&lt;=3000</v>
      </c>
      <c r="J61" s="59"/>
      <c r="K61" s="59"/>
      <c r="L61" s="61"/>
      <c r="M61" s="147" t="str">
        <f>AG82</f>
        <v>Mitte Achse zum Sturz</v>
      </c>
      <c r="N61" s="148"/>
      <c r="O61" s="148"/>
      <c r="P61" s="149"/>
      <c r="R61" s="120" t="str">
        <f>VLOOKUP(AG85,AG2:AR96,$AE$1+1,FALSE)</f>
        <v>Aufgestellt:</v>
      </c>
      <c r="S61" s="121"/>
      <c r="T61" s="120" t="str">
        <f>VLOOKUP(AG86,AG2:AR96,$AE$1+1,FALSE)</f>
        <v>Bereinigt:</v>
      </c>
      <c r="U61" s="121"/>
      <c r="V61" s="120" t="str">
        <f>VLOOKUP(AG87,AG2:AR96,$AE$1+1,FALSE)</f>
        <v>Bereinigt am:</v>
      </c>
      <c r="W61" s="121"/>
      <c r="X61" s="120" t="str">
        <f>VLOOKUP(AG88,AG2:AR96,$AE$1+1,FALSE)</f>
        <v>Dateiname:</v>
      </c>
      <c r="Y61" s="121"/>
      <c r="Z61" s="69" t="str">
        <f>VLOOKUP(AG89,AG2:AR96,$AE$1+1,FALSE)</f>
        <v>Datum:</v>
      </c>
      <c r="AA61" s="58" t="str">
        <f>VLOOKUP(AG90,AG2:AR96,$AE$1+1,FALSE)</f>
        <v>Massst.:</v>
      </c>
      <c r="AB61" s="18" t="str">
        <f>VLOOKUP(AG91,AG2:AR96,$AE$1+1,FALSE)</f>
        <v>Format:</v>
      </c>
      <c r="AG61" t="str">
        <f t="shared" si="2"/>
        <v>Lichte Breite</v>
      </c>
      <c r="AH61" t="s">
        <v>23</v>
      </c>
      <c r="AI61" t="s">
        <v>24</v>
      </c>
      <c r="AJ61" t="s">
        <v>25</v>
      </c>
      <c r="AK61" t="s">
        <v>26</v>
      </c>
      <c r="AL61" t="s">
        <v>27</v>
      </c>
      <c r="AM61" t="s">
        <v>28</v>
      </c>
      <c r="AN61" t="s">
        <v>29</v>
      </c>
      <c r="AO61" t="s">
        <v>30</v>
      </c>
      <c r="AP61" t="s">
        <v>371</v>
      </c>
    </row>
    <row r="62" spans="1:43" ht="15.75" thickBot="1">
      <c r="B62" s="58" t="s">
        <v>372</v>
      </c>
      <c r="C62" s="1" t="str">
        <f>VLOOKUP(AG68,AG8:AR101,$AE$1+1,FALSE)</f>
        <v>Freiraum RECHTS</v>
      </c>
      <c r="D62" s="56"/>
      <c r="E62" s="56"/>
      <c r="F62" s="57" t="str">
        <f>IF(OR(K3="",K7=""),"R","R = "&amp;Obrázky!Z17)</f>
        <v>R</v>
      </c>
      <c r="G62" s="58" t="str">
        <f>IF(OR(L60&lt;=3000,K7=""),"X","")</f>
        <v>X</v>
      </c>
      <c r="H62" s="56" t="str">
        <f>IF(OR(L60&lt;=3000,K7=""),VLOOKUP(AG80,AG8:AR101,$AE$1+1,FALSE),"")</f>
        <v>Aufhängepunkte</v>
      </c>
      <c r="I62" s="56"/>
      <c r="J62" s="56"/>
      <c r="K62" s="65" t="str">
        <f>IF(K7="","H",IF(L60&lt;=3000,"H ",""))</f>
        <v>H</v>
      </c>
      <c r="L62" s="67" t="str">
        <f>IF(L60&lt;3000,IF(OR(K5="",K7=""),"",K5),"")</f>
        <v/>
      </c>
      <c r="M62" s="58" t="s">
        <v>373</v>
      </c>
      <c r="N62" s="56"/>
      <c r="O62" s="56"/>
      <c r="P62" s="57">
        <v>100</v>
      </c>
      <c r="R62" s="120" t="s">
        <v>374</v>
      </c>
      <c r="S62" s="121"/>
      <c r="T62" s="120" t="s">
        <v>375</v>
      </c>
      <c r="U62" s="121"/>
      <c r="V62" s="124">
        <v>45321</v>
      </c>
      <c r="W62" s="121"/>
      <c r="X62" s="120" t="s">
        <v>376</v>
      </c>
      <c r="Y62" s="121"/>
      <c r="Z62" s="70">
        <v>45314</v>
      </c>
      <c r="AA62" s="68" t="s">
        <v>377</v>
      </c>
      <c r="AB62" s="71" t="s">
        <v>378</v>
      </c>
      <c r="AG62" t="str">
        <f t="shared" si="2"/>
        <v>Lichte Höhe</v>
      </c>
      <c r="AH62" t="s">
        <v>32</v>
      </c>
      <c r="AI62" t="s">
        <v>33</v>
      </c>
      <c r="AJ62" t="s">
        <v>34</v>
      </c>
      <c r="AK62" t="s">
        <v>35</v>
      </c>
      <c r="AL62" t="s">
        <v>36</v>
      </c>
      <c r="AM62" t="s">
        <v>37</v>
      </c>
      <c r="AN62" t="s">
        <v>38</v>
      </c>
      <c r="AO62" t="s">
        <v>39</v>
      </c>
      <c r="AP62" t="s">
        <v>379</v>
      </c>
    </row>
    <row r="63" spans="1:43" ht="15.75" customHeight="1" thickBot="1">
      <c r="B63" s="58" t="s">
        <v>380</v>
      </c>
      <c r="C63" s="1" t="str">
        <f>VLOOKUP(AG69,AG10:AR102,$AE$1+1,FALSE)</f>
        <v>Einbautiefe</v>
      </c>
      <c r="D63" s="56"/>
      <c r="E63" s="56"/>
      <c r="F63" s="57" t="str">
        <f>IF(OR($K$3=0,$K$5=0,$K$7=""),"D", "D = " &amp; $L$60)</f>
        <v>D</v>
      </c>
      <c r="G63" s="10" t="str">
        <f>IF(K5="",AG79,IF(AND(L60&gt;3000,L60&lt;=4500),AG79,""))</f>
        <v>Aufhängepunkte, wenn</v>
      </c>
      <c r="H63" s="10"/>
      <c r="I63" s="59" t="str">
        <f>IF(K7="","3000&lt;D&lt;=4500",IF(AND(L60&gt;3000,L60&lt;=4500),"3000&lt;D&lt;=4500",""))</f>
        <v>3000&lt;D&lt;=4500</v>
      </c>
      <c r="J63" s="10"/>
      <c r="K63" s="10"/>
      <c r="L63" s="10"/>
      <c r="M63" s="125" t="str">
        <f>AG116</f>
        <v>Aufhängepunkt für Vierkantrohr</v>
      </c>
      <c r="N63" s="126"/>
      <c r="O63" s="126"/>
      <c r="P63" s="127"/>
      <c r="R63" s="128" t="s">
        <v>381</v>
      </c>
      <c r="S63" s="129"/>
      <c r="T63" s="129"/>
      <c r="U63" s="130"/>
      <c r="V63" s="134" t="str">
        <f>VLOOKUP(AG92,AG2:AR96,$AE$1+1,FALSE)</f>
        <v>BAUBEREITSCHAFT                           NIEDRIGSTURZ BESCHLAG (LL-DT)</v>
      </c>
      <c r="W63" s="135"/>
      <c r="X63" s="135"/>
      <c r="Y63" s="135"/>
      <c r="Z63" s="135"/>
      <c r="AA63" s="135"/>
      <c r="AB63" s="136"/>
      <c r="AG63" t="str">
        <f t="shared" si="2"/>
        <v>Höhe der Führung</v>
      </c>
      <c r="AH63" t="s">
        <v>382</v>
      </c>
      <c r="AI63" t="s">
        <v>382</v>
      </c>
      <c r="AJ63" t="s">
        <v>383</v>
      </c>
      <c r="AK63" t="s">
        <v>384</v>
      </c>
      <c r="AL63" t="s">
        <v>385</v>
      </c>
      <c r="AM63" t="s">
        <v>382</v>
      </c>
      <c r="AN63" t="s">
        <v>386</v>
      </c>
      <c r="AO63" t="s">
        <v>387</v>
      </c>
      <c r="AP63" t="s">
        <v>388</v>
      </c>
    </row>
    <row r="64" spans="1:43" ht="15.75" customHeight="1" thickBot="1">
      <c r="B64" s="58" t="s">
        <v>389</v>
      </c>
      <c r="C64" s="55" t="str">
        <f>VLOOKUP(AG70,AG14:AR104,$AE$1+1,FALSE)</f>
        <v>1. Aufhängepunkt</v>
      </c>
      <c r="D64" s="56"/>
      <c r="E64" s="56"/>
      <c r="F64" s="57"/>
      <c r="G64" s="69" t="str">
        <f>IF(K7="","X",IF(AND(L60&gt;3000,L60&lt;=4500),"X",""))</f>
        <v>X</v>
      </c>
      <c r="H64" s="55" t="str">
        <f>IF(K7="",VLOOKUP(AG70,AG8:AR101,$AE$1+1,FALSE),IF(AND(L60&gt;3000,L60&lt;=4500),VLOOKUP(AG70,AG8:AR101,$AE$1+1,FALSE),""))</f>
        <v>1. Aufhängepunkt</v>
      </c>
      <c r="J64" s="56"/>
      <c r="K64" s="65" t="str">
        <f>IF(K7="","H",IF(AND(L60&gt;3000,L60&lt;=4500),"H",""))</f>
        <v>H</v>
      </c>
      <c r="L64" s="57" t="str">
        <f>IF(OR(K5="",K7=""),"",IF(AND(L60&gt;3000,L60&lt;=4500),IF(OR(K7=""),"",K5),""))</f>
        <v/>
      </c>
      <c r="M64" s="58" t="s">
        <v>390</v>
      </c>
      <c r="N64" s="56"/>
      <c r="O64" s="72" t="s">
        <v>391</v>
      </c>
      <c r="P64" s="57">
        <f>K5+1020</f>
        <v>1020</v>
      </c>
      <c r="R64" s="131"/>
      <c r="S64" s="132"/>
      <c r="T64" s="132"/>
      <c r="U64" s="133"/>
      <c r="V64" s="137"/>
      <c r="W64" s="138"/>
      <c r="X64" s="138"/>
      <c r="Y64" s="138"/>
      <c r="Z64" s="138"/>
      <c r="AA64" s="138"/>
      <c r="AB64" s="139"/>
      <c r="AG64" t="str">
        <f t="shared" si="2"/>
        <v>Höhe Innenraum</v>
      </c>
      <c r="AH64" t="s">
        <v>392</v>
      </c>
      <c r="AI64" t="s">
        <v>393</v>
      </c>
      <c r="AJ64" t="s">
        <v>394</v>
      </c>
      <c r="AK64" t="s">
        <v>395</v>
      </c>
      <c r="AL64" t="s">
        <v>396</v>
      </c>
      <c r="AM64" t="s">
        <v>397</v>
      </c>
      <c r="AN64" t="s">
        <v>398</v>
      </c>
      <c r="AO64" t="s">
        <v>399</v>
      </c>
      <c r="AP64" t="s">
        <v>400</v>
      </c>
    </row>
    <row r="65" spans="1:58" ht="15.75" customHeight="1" thickBot="1">
      <c r="B65" s="58" t="s">
        <v>401</v>
      </c>
      <c r="C65" s="1" t="str">
        <f>VLOOKUP(AG71,AG15:AR105,$AE$1+1,FALSE)</f>
        <v>2. Aufhängepunkt</v>
      </c>
      <c r="E65" s="1"/>
      <c r="F65" s="57"/>
      <c r="G65" s="73" t="str">
        <f>IF(K7="","Y",IF(AND(L60&gt;3000,L60&lt;=4500),"Y",""))</f>
        <v>Y</v>
      </c>
      <c r="H65" s="55" t="str">
        <f>IF(K7="",VLOOKUP(AG71,AG8:AR101,$AE$1+1,FALSE),IF(AND(L60&gt;3000,L60&lt;=4500),VLOOKUP(AG71,AG8:AR101,$AE$1+1,FALSE),""))</f>
        <v>2. Aufhängepunkt</v>
      </c>
      <c r="I65" s="56"/>
      <c r="J65" s="56"/>
      <c r="K65" s="65" t="str">
        <f>IF(K5="","1/2 X",IF(AND(L60&gt;3000,L60&lt;=4500),"1/2 X",""))</f>
        <v>1/2 X</v>
      </c>
      <c r="L65" s="57" t="str">
        <f>IF(OR(K5=""),"",IF(AND(L60&gt;3000,L60&lt;=4500),IF(OR(K7=""),"",ROUND(L64/2,0)),""))</f>
        <v/>
      </c>
      <c r="M65" s="74"/>
      <c r="N65" s="75"/>
      <c r="O65" s="143"/>
      <c r="P65" s="144"/>
      <c r="R65" s="23"/>
      <c r="V65" s="137"/>
      <c r="W65" s="138"/>
      <c r="X65" s="138"/>
      <c r="Y65" s="138"/>
      <c r="Z65" s="138"/>
      <c r="AA65" s="138"/>
      <c r="AB65" s="139"/>
      <c r="AG65" t="str">
        <f t="shared" si="2"/>
        <v>Freiraum über Sturz</v>
      </c>
      <c r="AH65" t="s">
        <v>402</v>
      </c>
      <c r="AI65" t="s">
        <v>403</v>
      </c>
      <c r="AJ65" t="s">
        <v>404</v>
      </c>
      <c r="AK65" t="s">
        <v>405</v>
      </c>
      <c r="AL65" t="s">
        <v>406</v>
      </c>
      <c r="AM65" t="s">
        <v>407</v>
      </c>
      <c r="AN65" t="s">
        <v>408</v>
      </c>
      <c r="AO65" t="s">
        <v>409</v>
      </c>
      <c r="AP65" t="s">
        <v>410</v>
      </c>
    </row>
    <row r="66" spans="1:58" ht="15.75" customHeight="1" thickBot="1">
      <c r="B66" s="58" t="s">
        <v>411</v>
      </c>
      <c r="C66" s="76" t="str">
        <f>AG116</f>
        <v>Aufhängepunkt für Vierkantrohr</v>
      </c>
      <c r="D66" s="56"/>
      <c r="E66" s="56"/>
      <c r="F66" s="57"/>
      <c r="G66" s="77" t="str">
        <f>IF(K5="",VLOOKUP(AG79,AG6:AR99,$AE$1+1,FALSE),IF(L60&gt;4500,VLOOKUP(AG79,AG6:AR99,$AE$1+1,FALSE),""))</f>
        <v>Aufhängepunkte, wenn</v>
      </c>
      <c r="H66" s="59"/>
      <c r="I66" s="59" t="str">
        <f>IF(K5="","D&gt;4500",IF(L60&gt;4500,"D&gt;4500",""))</f>
        <v>D&gt;4500</v>
      </c>
      <c r="J66" s="59"/>
      <c r="K66" s="59"/>
      <c r="L66" s="61"/>
      <c r="M66" s="69"/>
      <c r="N66" s="78"/>
      <c r="O66" s="79"/>
      <c r="P66" s="57"/>
      <c r="R66" s="23"/>
      <c r="V66" s="137"/>
      <c r="W66" s="138"/>
      <c r="X66" s="138"/>
      <c r="Y66" s="138"/>
      <c r="Z66" s="138"/>
      <c r="AA66" s="138"/>
      <c r="AB66" s="139"/>
      <c r="AG66" t="str">
        <f t="shared" si="2"/>
        <v>Höhe über Montagefläche Loch</v>
      </c>
      <c r="AH66" t="s">
        <v>412</v>
      </c>
      <c r="AI66" t="s">
        <v>413</v>
      </c>
      <c r="AJ66" t="s">
        <v>414</v>
      </c>
      <c r="AK66" t="s">
        <v>415</v>
      </c>
      <c r="AL66" t="s">
        <v>416</v>
      </c>
      <c r="AM66" t="s">
        <v>417</v>
      </c>
      <c r="AN66" t="s">
        <v>418</v>
      </c>
      <c r="AO66" t="s">
        <v>419</v>
      </c>
      <c r="AP66" t="s">
        <v>420</v>
      </c>
    </row>
    <row r="67" spans="1:58" ht="15.75" customHeight="1" thickBot="1">
      <c r="B67" s="80"/>
      <c r="C67" s="55"/>
      <c r="D67" s="56"/>
      <c r="E67" s="56"/>
      <c r="F67" s="57"/>
      <c r="G67" s="58" t="str">
        <f>IF(L60&gt;4500,"X","")</f>
        <v>X</v>
      </c>
      <c r="H67" s="56" t="str">
        <f>IF(L60&gt;4500,VLOOKUP(AG72,AG11:AR104,$AE$1+1,FALSE),"")</f>
        <v>3. Aufhängepunkt</v>
      </c>
      <c r="I67" s="1"/>
      <c r="J67" s="81" t="str">
        <f>IF($K$7=$AG$102,$L$57,$L$60)</f>
        <v/>
      </c>
      <c r="K67" s="82" t="str">
        <f>IF(L60&gt;4500,"H","")</f>
        <v>H</v>
      </c>
      <c r="L67" s="5" t="str">
        <f>IF(K5="","",IF(L60&gt;4500,K5,""))</f>
        <v/>
      </c>
      <c r="M67" s="69"/>
      <c r="N67" s="78"/>
      <c r="O67" s="78"/>
      <c r="P67" s="83"/>
      <c r="R67" s="23"/>
      <c r="V67" s="140"/>
      <c r="W67" s="141"/>
      <c r="X67" s="141"/>
      <c r="Y67" s="141"/>
      <c r="Z67" s="141"/>
      <c r="AA67" s="141"/>
      <c r="AB67" s="142"/>
      <c r="AG67" t="str">
        <f t="shared" si="2"/>
        <v>Freiraum LINKS</v>
      </c>
      <c r="AH67" t="s">
        <v>421</v>
      </c>
      <c r="AI67" t="s">
        <v>422</v>
      </c>
      <c r="AJ67" t="s">
        <v>423</v>
      </c>
      <c r="AK67" t="s">
        <v>424</v>
      </c>
      <c r="AL67" t="s">
        <v>425</v>
      </c>
      <c r="AM67" t="s">
        <v>426</v>
      </c>
      <c r="AN67" t="s">
        <v>427</v>
      </c>
      <c r="AO67" t="s">
        <v>428</v>
      </c>
      <c r="AP67" t="s">
        <v>429</v>
      </c>
    </row>
    <row r="68" spans="1:58" ht="15.75" thickBot="1">
      <c r="A68" s="5"/>
      <c r="B68" s="84"/>
      <c r="D68" s="1"/>
      <c r="E68" s="1"/>
      <c r="F68" s="67"/>
      <c r="G68" s="58" t="str">
        <f>IF(L60&gt;4500,"Y","")</f>
        <v>Y</v>
      </c>
      <c r="H68" s="56" t="str">
        <f>IF(L60&gt;4500,VLOOKUP(AG73,AG12:AR105,$AE$1+1,FALSE),"")</f>
        <v>Freiplatz auf der Mountageplatz</v>
      </c>
      <c r="I68" s="56"/>
      <c r="J68" s="81" t="str">
        <f>IF($K$7=$AG$102,$L$57,$L$60)</f>
        <v/>
      </c>
      <c r="K68" s="65" t="str">
        <f>IF(L60&gt;4500,"(X/3)*2","")</f>
        <v>(X/3)*2</v>
      </c>
      <c r="L68" s="83" t="str">
        <f>IF(K5="","",IF(L60&gt;4500,ROUND((L67/3)*2,0),""))</f>
        <v/>
      </c>
      <c r="M68" s="69"/>
      <c r="N68" s="78"/>
      <c r="O68" s="85"/>
      <c r="P68" s="83"/>
      <c r="R68" s="23"/>
      <c r="V68" s="114" t="str">
        <f>AG13</f>
        <v>NIEDRIGSTURZ BESCHLAG (LL-DT)</v>
      </c>
      <c r="W68" s="115"/>
      <c r="X68" s="115"/>
      <c r="Y68" s="116"/>
      <c r="Z68" s="58" t="str">
        <f>VLOOKUP(AG95,AG2:AR96,$AE$1+1,FALSE)</f>
        <v>Kode:</v>
      </c>
      <c r="AA68" s="120" t="str">
        <f>VLOOKUP(AG96,AG2:AR96,$AE$1+1,FALSE)</f>
        <v>Version:</v>
      </c>
      <c r="AB68" s="121"/>
      <c r="AG68" t="str">
        <f t="shared" si="2"/>
        <v>Freiraum RECHTS</v>
      </c>
      <c r="AH68" t="s">
        <v>430</v>
      </c>
      <c r="AI68" t="s">
        <v>431</v>
      </c>
      <c r="AJ68" t="s">
        <v>432</v>
      </c>
      <c r="AK68" t="s">
        <v>433</v>
      </c>
      <c r="AL68" t="s">
        <v>434</v>
      </c>
      <c r="AM68" t="s">
        <v>435</v>
      </c>
      <c r="AN68" t="s">
        <v>436</v>
      </c>
      <c r="AO68" t="s">
        <v>437</v>
      </c>
      <c r="AP68" t="s">
        <v>438</v>
      </c>
    </row>
    <row r="69" spans="1:58" ht="15.75" thickBot="1">
      <c r="B69" s="80"/>
      <c r="C69" s="56"/>
      <c r="D69" s="56"/>
      <c r="E69" s="56"/>
      <c r="F69" s="57"/>
      <c r="G69" s="58" t="str">
        <f>IF(L60&gt;4500,"Y2","")</f>
        <v>Y2</v>
      </c>
      <c r="H69" s="56" t="str">
        <f>IF(L60&gt;4500,VLOOKUP(AG74,AG13:AR106,$AE$1+1,FALSE),"")</f>
        <v>Handbedienung</v>
      </c>
      <c r="I69" s="56"/>
      <c r="J69" s="81" t="str">
        <f>IF($K$7=$AG$102,$L$57,$L$60)</f>
        <v/>
      </c>
      <c r="K69" s="82" t="str">
        <f>IF(L60&gt;4500,"X/3","")</f>
        <v>X/3</v>
      </c>
      <c r="L69" s="86" t="str">
        <f>IF(K5="","",IF(L60&gt;4500,ROUND(L67/3,0),""))</f>
        <v/>
      </c>
      <c r="M69" s="87"/>
      <c r="N69" s="56"/>
      <c r="O69" s="1"/>
      <c r="P69" s="67"/>
      <c r="Q69" s="1"/>
      <c r="R69" s="87"/>
      <c r="S69" s="1"/>
      <c r="T69" s="1"/>
      <c r="U69" s="1"/>
      <c r="V69" s="117"/>
      <c r="W69" s="118"/>
      <c r="X69" s="118"/>
      <c r="Y69" s="119"/>
      <c r="Z69" s="88" t="s">
        <v>439</v>
      </c>
      <c r="AA69" s="122">
        <v>2405</v>
      </c>
      <c r="AB69" s="123"/>
      <c r="AG69" t="str">
        <f t="shared" si="2"/>
        <v>Einbautiefe</v>
      </c>
      <c r="AH69" t="s">
        <v>440</v>
      </c>
      <c r="AI69" t="s">
        <v>441</v>
      </c>
      <c r="AJ69" t="s">
        <v>442</v>
      </c>
      <c r="AK69" t="s">
        <v>443</v>
      </c>
      <c r="AL69" t="s">
        <v>444</v>
      </c>
      <c r="AM69" t="s">
        <v>445</v>
      </c>
      <c r="AN69" t="s">
        <v>446</v>
      </c>
      <c r="AO69" t="s">
        <v>447</v>
      </c>
      <c r="AP69" t="s">
        <v>448</v>
      </c>
    </row>
    <row r="70" spans="1:58">
      <c r="V70" s="4"/>
      <c r="W70" s="4"/>
      <c r="X70" s="4"/>
      <c r="Y70" s="4"/>
      <c r="AG70" t="str">
        <f t="shared" si="2"/>
        <v>1. Aufhängepunkt</v>
      </c>
      <c r="AH70" t="s">
        <v>449</v>
      </c>
      <c r="AI70" t="s">
        <v>450</v>
      </c>
      <c r="AJ70" t="s">
        <v>451</v>
      </c>
      <c r="AK70" t="s">
        <v>452</v>
      </c>
      <c r="AL70" t="s">
        <v>453</v>
      </c>
      <c r="AM70" t="s">
        <v>454</v>
      </c>
      <c r="AN70" t="s">
        <v>455</v>
      </c>
      <c r="AO70" t="s">
        <v>456</v>
      </c>
      <c r="AP70" t="s">
        <v>457</v>
      </c>
    </row>
    <row r="71" spans="1:58">
      <c r="V71" s="4"/>
      <c r="W71" s="4"/>
      <c r="X71" s="4"/>
      <c r="Y71" s="4"/>
      <c r="AG71" t="str">
        <f t="shared" si="2"/>
        <v>2. Aufhängepunkt</v>
      </c>
      <c r="AH71" t="s">
        <v>458</v>
      </c>
      <c r="AI71" t="s">
        <v>459</v>
      </c>
      <c r="AJ71" t="s">
        <v>460</v>
      </c>
      <c r="AK71" t="s">
        <v>461</v>
      </c>
      <c r="AL71" t="s">
        <v>462</v>
      </c>
      <c r="AM71" t="s">
        <v>463</v>
      </c>
      <c r="AN71" t="s">
        <v>464</v>
      </c>
      <c r="AO71" t="s">
        <v>465</v>
      </c>
      <c r="AP71" t="s">
        <v>466</v>
      </c>
    </row>
    <row r="72" spans="1:58">
      <c r="V72" s="4"/>
      <c r="W72" s="4"/>
      <c r="X72" s="4"/>
      <c r="Y72" s="4"/>
      <c r="AG72" t="str">
        <f t="shared" si="2"/>
        <v>3. Aufhängepunkt</v>
      </c>
      <c r="AH72" t="s">
        <v>467</v>
      </c>
      <c r="AI72" t="s">
        <v>468</v>
      </c>
      <c r="AJ72" t="s">
        <v>469</v>
      </c>
      <c r="AK72" t="s">
        <v>470</v>
      </c>
      <c r="AL72" t="s">
        <v>471</v>
      </c>
      <c r="AM72" t="s">
        <v>472</v>
      </c>
      <c r="AN72" t="s">
        <v>473</v>
      </c>
      <c r="AO72" t="s">
        <v>474</v>
      </c>
      <c r="AP72" t="s">
        <v>475</v>
      </c>
    </row>
    <row r="73" spans="1:58">
      <c r="AG73" t="str">
        <f>VLOOKUP(AH73,AH73:AR164,$AE$1,FALSE)</f>
        <v>Freiplatz auf der Mountageplatz</v>
      </c>
      <c r="AH73" s="19" t="s">
        <v>402</v>
      </c>
      <c r="AI73" s="19" t="s">
        <v>476</v>
      </c>
      <c r="AJ73" t="s">
        <v>477</v>
      </c>
      <c r="AK73" s="19" t="s">
        <v>478</v>
      </c>
      <c r="AL73" s="19" t="s">
        <v>479</v>
      </c>
      <c r="AM73" s="19" t="s">
        <v>480</v>
      </c>
      <c r="AN73" s="19" t="s">
        <v>481</v>
      </c>
      <c r="AO73" s="19" t="s">
        <v>482</v>
      </c>
      <c r="AP73" s="19" t="s">
        <v>483</v>
      </c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</row>
    <row r="74" spans="1:58">
      <c r="G74" s="4"/>
      <c r="AG74" t="str">
        <f t="shared" ref="AG74:AG122" si="3">VLOOKUP(AH74,AH74:AR165,$AE$1,FALSE)</f>
        <v>Handbedienung</v>
      </c>
      <c r="AH74" t="s">
        <v>484</v>
      </c>
      <c r="AI74" t="s">
        <v>485</v>
      </c>
      <c r="AJ74" t="s">
        <v>486</v>
      </c>
      <c r="AK74" t="s">
        <v>487</v>
      </c>
      <c r="AL74" t="s">
        <v>488</v>
      </c>
      <c r="AM74" t="s">
        <v>489</v>
      </c>
      <c r="AN74" t="s">
        <v>490</v>
      </c>
      <c r="AO74" t="s">
        <v>491</v>
      </c>
      <c r="AP74" t="s">
        <v>492</v>
      </c>
    </row>
    <row r="75" spans="1:58">
      <c r="AG75" t="str">
        <f t="shared" si="3"/>
        <v>Beide Seiten</v>
      </c>
      <c r="AH75" t="s">
        <v>493</v>
      </c>
      <c r="AI75" t="s">
        <v>494</v>
      </c>
      <c r="AJ75" s="19" t="s">
        <v>495</v>
      </c>
      <c r="AK75" t="s">
        <v>496</v>
      </c>
      <c r="AL75" t="s">
        <v>497</v>
      </c>
      <c r="AM75" t="s">
        <v>498</v>
      </c>
      <c r="AN75" t="s">
        <v>499</v>
      </c>
      <c r="AO75" t="s">
        <v>500</v>
      </c>
      <c r="AP75" t="s">
        <v>501</v>
      </c>
    </row>
    <row r="76" spans="1:58">
      <c r="AG76" t="str">
        <f t="shared" si="3"/>
        <v>Elektrisch- oder Haspelkettenbedient</v>
      </c>
      <c r="AH76" t="s">
        <v>502</v>
      </c>
      <c r="AI76" t="s">
        <v>503</v>
      </c>
      <c r="AJ76" t="s">
        <v>504</v>
      </c>
      <c r="AK76" t="s">
        <v>505</v>
      </c>
      <c r="AL76" t="s">
        <v>506</v>
      </c>
      <c r="AM76" t="s">
        <v>507</v>
      </c>
      <c r="AN76" t="s">
        <v>508</v>
      </c>
      <c r="AO76" t="s">
        <v>509</v>
      </c>
      <c r="AP76" t="s">
        <v>510</v>
      </c>
    </row>
    <row r="77" spans="1:58">
      <c r="AG77" t="str">
        <f t="shared" si="3"/>
        <v>Motor-oder Kettenseite</v>
      </c>
      <c r="AH77" t="s">
        <v>511</v>
      </c>
      <c r="AI77" t="s">
        <v>512</v>
      </c>
      <c r="AJ77" t="s">
        <v>513</v>
      </c>
      <c r="AK77" t="s">
        <v>514</v>
      </c>
      <c r="AL77" t="s">
        <v>515</v>
      </c>
      <c r="AM77" t="s">
        <v>516</v>
      </c>
      <c r="AN77" t="s">
        <v>517</v>
      </c>
      <c r="AO77" t="s">
        <v>518</v>
      </c>
      <c r="AP77" t="s">
        <v>519</v>
      </c>
    </row>
    <row r="78" spans="1:58">
      <c r="AG78" t="str">
        <f t="shared" si="3"/>
        <v>Einbautiefe</v>
      </c>
      <c r="AH78" t="s">
        <v>440</v>
      </c>
      <c r="AI78" t="s">
        <v>441</v>
      </c>
      <c r="AJ78" t="s">
        <v>442</v>
      </c>
      <c r="AK78" t="s">
        <v>520</v>
      </c>
      <c r="AL78" t="s">
        <v>444</v>
      </c>
      <c r="AM78" t="s">
        <v>445</v>
      </c>
      <c r="AN78" t="s">
        <v>446</v>
      </c>
      <c r="AO78" t="s">
        <v>521</v>
      </c>
      <c r="AP78" t="s">
        <v>448</v>
      </c>
    </row>
    <row r="79" spans="1:58">
      <c r="AG79" t="str">
        <f t="shared" si="3"/>
        <v>Aufhängepunkte, wenn</v>
      </c>
      <c r="AH79" t="s">
        <v>522</v>
      </c>
      <c r="AI79" t="s">
        <v>523</v>
      </c>
      <c r="AJ79" t="s">
        <v>524</v>
      </c>
      <c r="AK79" t="s">
        <v>525</v>
      </c>
      <c r="AL79" t="s">
        <v>526</v>
      </c>
      <c r="AM79" t="s">
        <v>527</v>
      </c>
      <c r="AN79" t="s">
        <v>528</v>
      </c>
      <c r="AO79" t="s">
        <v>529</v>
      </c>
      <c r="AP79" t="s">
        <v>530</v>
      </c>
    </row>
    <row r="80" spans="1:58">
      <c r="AG80" t="str">
        <f t="shared" si="3"/>
        <v>Aufhängepunkte</v>
      </c>
      <c r="AH80" t="s">
        <v>531</v>
      </c>
      <c r="AI80" t="s">
        <v>532</v>
      </c>
      <c r="AJ80" t="s">
        <v>533</v>
      </c>
      <c r="AK80" t="s">
        <v>534</v>
      </c>
      <c r="AL80" t="s">
        <v>535</v>
      </c>
      <c r="AM80" t="s">
        <v>536</v>
      </c>
      <c r="AN80" t="s">
        <v>537</v>
      </c>
      <c r="AO80" t="s">
        <v>538</v>
      </c>
      <c r="AP80" t="s">
        <v>539</v>
      </c>
    </row>
    <row r="81" spans="16:42">
      <c r="AG81" t="str">
        <f t="shared" si="3"/>
        <v>Freiraum über Sturz</v>
      </c>
      <c r="AH81" t="s">
        <v>402</v>
      </c>
      <c r="AI81" t="s">
        <v>403</v>
      </c>
      <c r="AJ81" t="s">
        <v>404</v>
      </c>
      <c r="AK81" t="s">
        <v>540</v>
      </c>
      <c r="AL81" t="s">
        <v>406</v>
      </c>
      <c r="AM81" t="s">
        <v>407</v>
      </c>
      <c r="AN81" t="s">
        <v>541</v>
      </c>
      <c r="AO81" t="s">
        <v>542</v>
      </c>
      <c r="AP81" t="s">
        <v>410</v>
      </c>
    </row>
    <row r="82" spans="16:42">
      <c r="P82" s="89"/>
      <c r="Q82" s="89"/>
      <c r="AG82" t="str">
        <f t="shared" si="3"/>
        <v>Mitte Achse zum Sturz</v>
      </c>
      <c r="AH82" t="s">
        <v>543</v>
      </c>
      <c r="AI82" t="s">
        <v>544</v>
      </c>
      <c r="AJ82" t="s">
        <v>545</v>
      </c>
      <c r="AK82" t="s">
        <v>546</v>
      </c>
      <c r="AL82" t="s">
        <v>547</v>
      </c>
      <c r="AM82" t="s">
        <v>548</v>
      </c>
      <c r="AN82" t="s">
        <v>549</v>
      </c>
      <c r="AO82" t="s">
        <v>550</v>
      </c>
      <c r="AP82" t="s">
        <v>551</v>
      </c>
    </row>
    <row r="85" spans="16:42">
      <c r="AG85" t="str">
        <f t="shared" si="3"/>
        <v>Aufgestellt:</v>
      </c>
      <c r="AH85" t="s">
        <v>552</v>
      </c>
      <c r="AI85" t="s">
        <v>553</v>
      </c>
      <c r="AJ85" t="s">
        <v>554</v>
      </c>
      <c r="AK85" t="s">
        <v>555</v>
      </c>
      <c r="AL85" t="s">
        <v>556</v>
      </c>
      <c r="AM85" t="s">
        <v>557</v>
      </c>
      <c r="AN85" t="s">
        <v>558</v>
      </c>
      <c r="AO85" t="s">
        <v>559</v>
      </c>
      <c r="AP85" t="s">
        <v>560</v>
      </c>
    </row>
    <row r="86" spans="16:42">
      <c r="AG86" t="str">
        <f t="shared" si="3"/>
        <v>Bereinigt:</v>
      </c>
      <c r="AH86" t="s">
        <v>561</v>
      </c>
      <c r="AI86" t="s">
        <v>562</v>
      </c>
      <c r="AJ86" t="s">
        <v>563</v>
      </c>
      <c r="AK86" t="s">
        <v>564</v>
      </c>
      <c r="AL86" t="s">
        <v>565</v>
      </c>
      <c r="AM86" t="s">
        <v>566</v>
      </c>
      <c r="AN86" t="s">
        <v>567</v>
      </c>
      <c r="AO86" t="s">
        <v>568</v>
      </c>
      <c r="AP86" t="s">
        <v>569</v>
      </c>
    </row>
    <row r="87" spans="16:42">
      <c r="AG87" t="str">
        <f t="shared" si="3"/>
        <v>Bereinigt am:</v>
      </c>
      <c r="AH87" t="s">
        <v>570</v>
      </c>
      <c r="AI87" t="s">
        <v>571</v>
      </c>
      <c r="AJ87" t="s">
        <v>572</v>
      </c>
      <c r="AK87" t="s">
        <v>573</v>
      </c>
      <c r="AL87" t="s">
        <v>574</v>
      </c>
      <c r="AM87" t="s">
        <v>575</v>
      </c>
      <c r="AN87" t="s">
        <v>576</v>
      </c>
      <c r="AO87" t="s">
        <v>577</v>
      </c>
      <c r="AP87" t="s">
        <v>578</v>
      </c>
    </row>
    <row r="88" spans="16:42">
      <c r="AG88" t="str">
        <f t="shared" si="3"/>
        <v>Dateiname:</v>
      </c>
      <c r="AH88" t="s">
        <v>579</v>
      </c>
      <c r="AI88" t="s">
        <v>580</v>
      </c>
      <c r="AJ88" t="s">
        <v>581</v>
      </c>
      <c r="AK88" t="s">
        <v>582</v>
      </c>
      <c r="AL88" t="s">
        <v>583</v>
      </c>
      <c r="AM88" t="s">
        <v>584</v>
      </c>
      <c r="AN88" t="s">
        <v>585</v>
      </c>
      <c r="AO88" t="s">
        <v>586</v>
      </c>
      <c r="AP88" t="s">
        <v>587</v>
      </c>
    </row>
    <row r="89" spans="16:42">
      <c r="AG89" t="str">
        <f t="shared" si="3"/>
        <v>Datum:</v>
      </c>
      <c r="AH89" t="s">
        <v>588</v>
      </c>
      <c r="AI89" t="s">
        <v>589</v>
      </c>
      <c r="AJ89" t="s">
        <v>588</v>
      </c>
      <c r="AK89" t="s">
        <v>590</v>
      </c>
      <c r="AL89" t="s">
        <v>591</v>
      </c>
      <c r="AM89" t="s">
        <v>588</v>
      </c>
      <c r="AN89" t="s">
        <v>592</v>
      </c>
      <c r="AO89" t="s">
        <v>593</v>
      </c>
      <c r="AP89" t="s">
        <v>594</v>
      </c>
    </row>
    <row r="90" spans="16:42">
      <c r="AG90" t="str">
        <f t="shared" si="3"/>
        <v>Massst.:</v>
      </c>
      <c r="AH90" t="s">
        <v>595</v>
      </c>
      <c r="AI90" t="s">
        <v>596</v>
      </c>
      <c r="AJ90" t="s">
        <v>597</v>
      </c>
      <c r="AK90" t="s">
        <v>598</v>
      </c>
      <c r="AL90" t="s">
        <v>599</v>
      </c>
      <c r="AM90" t="s">
        <v>600</v>
      </c>
      <c r="AN90" t="s">
        <v>601</v>
      </c>
      <c r="AO90" t="s">
        <v>602</v>
      </c>
      <c r="AP90" t="s">
        <v>603</v>
      </c>
    </row>
    <row r="91" spans="16:42">
      <c r="AG91" t="str">
        <f t="shared" si="3"/>
        <v>Format:</v>
      </c>
      <c r="AH91" t="s">
        <v>604</v>
      </c>
      <c r="AI91" t="s">
        <v>605</v>
      </c>
      <c r="AJ91" t="s">
        <v>606</v>
      </c>
      <c r="AK91" t="s">
        <v>606</v>
      </c>
      <c r="AL91" t="s">
        <v>607</v>
      </c>
      <c r="AM91" t="s">
        <v>605</v>
      </c>
      <c r="AN91" t="s">
        <v>608</v>
      </c>
      <c r="AO91" t="s">
        <v>609</v>
      </c>
      <c r="AP91" t="s">
        <v>610</v>
      </c>
    </row>
    <row r="92" spans="16:42" ht="17.25" customHeight="1">
      <c r="AG92" t="str">
        <f t="shared" si="3"/>
        <v>BAUBEREITSCHAFT                           NIEDRIGSTURZ BESCHLAG (LL-DT)</v>
      </c>
      <c r="AH92" t="s">
        <v>611</v>
      </c>
      <c r="AI92" t="s">
        <v>612</v>
      </c>
      <c r="AJ92" t="s">
        <v>613</v>
      </c>
      <c r="AK92" t="s">
        <v>614</v>
      </c>
      <c r="AL92" t="s">
        <v>615</v>
      </c>
      <c r="AM92" t="s">
        <v>86</v>
      </c>
      <c r="AN92" t="s">
        <v>616</v>
      </c>
      <c r="AO92" t="s">
        <v>617</v>
      </c>
      <c r="AP92" t="s">
        <v>618</v>
      </c>
    </row>
    <row r="93" spans="16:42">
      <c r="AG93" t="str">
        <f t="shared" si="3"/>
        <v xml:space="preserve"> Federn oberhalb des Sturzes </v>
      </c>
      <c r="AH93" t="s">
        <v>619</v>
      </c>
      <c r="AI93" t="s">
        <v>620</v>
      </c>
      <c r="AJ93" t="s">
        <v>621</v>
      </c>
      <c r="AK93" t="s">
        <v>622</v>
      </c>
      <c r="AL93" t="s">
        <v>94</v>
      </c>
      <c r="AM93" t="s">
        <v>95</v>
      </c>
      <c r="AN93" t="s">
        <v>623</v>
      </c>
      <c r="AO93" t="s">
        <v>97</v>
      </c>
      <c r="AP93" t="s">
        <v>98</v>
      </c>
    </row>
    <row r="94" spans="16:42">
      <c r="AG94" t="str">
        <f t="shared" si="3"/>
        <v>VERTIKALER BESCHLAG (VL-T)</v>
      </c>
      <c r="AH94" t="s">
        <v>624</v>
      </c>
      <c r="AI94" t="s">
        <v>625</v>
      </c>
      <c r="AJ94" t="s">
        <v>626</v>
      </c>
      <c r="AK94" t="s">
        <v>627</v>
      </c>
      <c r="AL94" t="s">
        <v>628</v>
      </c>
      <c r="AM94" t="s">
        <v>629</v>
      </c>
    </row>
    <row r="95" spans="16:42">
      <c r="AG95" t="str">
        <f t="shared" si="3"/>
        <v>Kode:</v>
      </c>
      <c r="AH95" t="s">
        <v>630</v>
      </c>
      <c r="AI95" t="s">
        <v>631</v>
      </c>
      <c r="AJ95" t="s">
        <v>632</v>
      </c>
      <c r="AK95" t="s">
        <v>633</v>
      </c>
      <c r="AL95" t="s">
        <v>634</v>
      </c>
      <c r="AM95" t="s">
        <v>635</v>
      </c>
      <c r="AN95" t="s">
        <v>636</v>
      </c>
      <c r="AO95" t="s">
        <v>637</v>
      </c>
      <c r="AP95" t="s">
        <v>638</v>
      </c>
    </row>
    <row r="96" spans="16:42">
      <c r="AG96" t="str">
        <f t="shared" si="3"/>
        <v>Version:</v>
      </c>
      <c r="AH96" t="s">
        <v>639</v>
      </c>
      <c r="AI96" t="s">
        <v>640</v>
      </c>
      <c r="AJ96" t="s">
        <v>640</v>
      </c>
      <c r="AK96" t="s">
        <v>641</v>
      </c>
      <c r="AL96" t="s">
        <v>642</v>
      </c>
      <c r="AM96" t="s">
        <v>643</v>
      </c>
      <c r="AN96" t="s">
        <v>644</v>
      </c>
      <c r="AO96" t="s">
        <v>645</v>
      </c>
      <c r="AP96" t="s">
        <v>646</v>
      </c>
    </row>
    <row r="97" spans="33:43">
      <c r="AG97" t="str">
        <f t="shared" si="3"/>
        <v>NICHT ERFORDELICH</v>
      </c>
      <c r="AH97" t="s">
        <v>647</v>
      </c>
      <c r="AI97" t="s">
        <v>648</v>
      </c>
      <c r="AJ97" t="s">
        <v>649</v>
      </c>
      <c r="AK97" t="s">
        <v>650</v>
      </c>
      <c r="AL97" t="s">
        <v>651</v>
      </c>
      <c r="AM97" t="s">
        <v>652</v>
      </c>
      <c r="AN97" t="s">
        <v>653</v>
      </c>
      <c r="AO97" t="s">
        <v>654</v>
      </c>
      <c r="AP97" t="s">
        <v>655</v>
      </c>
    </row>
    <row r="99" spans="33:43">
      <c r="AG99" t="str">
        <f t="shared" si="3"/>
        <v>Fülen Sie bitte markierte Felder!</v>
      </c>
      <c r="AH99" t="s">
        <v>656</v>
      </c>
      <c r="AI99" t="s">
        <v>657</v>
      </c>
      <c r="AJ99" t="s">
        <v>658</v>
      </c>
      <c r="AK99" t="s">
        <v>659</v>
      </c>
      <c r="AL99" t="s">
        <v>660</v>
      </c>
      <c r="AM99" t="s">
        <v>661</v>
      </c>
      <c r="AN99" t="s">
        <v>662</v>
      </c>
      <c r="AO99" t="s">
        <v>663</v>
      </c>
      <c r="AP99" t="s">
        <v>664</v>
      </c>
    </row>
    <row r="101" spans="33:43">
      <c r="AG101" t="str">
        <f t="shared" si="3"/>
        <v>Bedienung</v>
      </c>
      <c r="AH101" t="s">
        <v>665</v>
      </c>
      <c r="AI101" t="s">
        <v>666</v>
      </c>
      <c r="AJ101" t="s">
        <v>667</v>
      </c>
      <c r="AK101" t="s">
        <v>668</v>
      </c>
      <c r="AL101" t="s">
        <v>669</v>
      </c>
      <c r="AM101" t="s">
        <v>670</v>
      </c>
      <c r="AN101" t="s">
        <v>671</v>
      </c>
      <c r="AO101" t="s">
        <v>672</v>
      </c>
      <c r="AP101" t="s">
        <v>673</v>
      </c>
      <c r="AQ101" t="s">
        <v>673</v>
      </c>
    </row>
    <row r="102" spans="33:43">
      <c r="AG102" t="str">
        <f t="shared" si="3"/>
        <v>hand</v>
      </c>
      <c r="AH102" t="s">
        <v>674</v>
      </c>
      <c r="AI102" t="s">
        <v>675</v>
      </c>
      <c r="AJ102" t="s">
        <v>676</v>
      </c>
      <c r="AK102" t="s">
        <v>677</v>
      </c>
      <c r="AL102" t="s">
        <v>678</v>
      </c>
      <c r="AM102" t="s">
        <v>676</v>
      </c>
      <c r="AN102" t="s">
        <v>679</v>
      </c>
      <c r="AO102" t="s">
        <v>680</v>
      </c>
      <c r="AP102" s="90" t="s">
        <v>681</v>
      </c>
      <c r="AQ102" s="90" t="s">
        <v>681</v>
      </c>
    </row>
    <row r="103" spans="33:43" ht="22.5" customHeight="1">
      <c r="AG103" t="str">
        <f t="shared" si="3"/>
        <v>elektrisch</v>
      </c>
      <c r="AH103" t="s">
        <v>682</v>
      </c>
      <c r="AI103" t="s">
        <v>683</v>
      </c>
      <c r="AJ103" t="s">
        <v>684</v>
      </c>
      <c r="AK103" t="s">
        <v>685</v>
      </c>
      <c r="AL103" t="s">
        <v>686</v>
      </c>
      <c r="AM103" t="s">
        <v>684</v>
      </c>
      <c r="AN103" t="s">
        <v>687</v>
      </c>
      <c r="AO103" t="s">
        <v>688</v>
      </c>
      <c r="AP103" s="90" t="s">
        <v>510</v>
      </c>
      <c r="AQ103" s="90" t="s">
        <v>510</v>
      </c>
    </row>
    <row r="104" spans="33:43">
      <c r="AG104" t="str">
        <f t="shared" si="3"/>
        <v>haspeklette</v>
      </c>
      <c r="AH104" t="s">
        <v>689</v>
      </c>
      <c r="AI104" t="s">
        <v>690</v>
      </c>
      <c r="AJ104" t="s">
        <v>691</v>
      </c>
      <c r="AK104" t="s">
        <v>692</v>
      </c>
      <c r="AL104" t="s">
        <v>693</v>
      </c>
      <c r="AM104" t="s">
        <v>694</v>
      </c>
      <c r="AN104" t="s">
        <v>695</v>
      </c>
      <c r="AO104" t="s">
        <v>696</v>
      </c>
      <c r="AP104" s="31" t="s">
        <v>697</v>
      </c>
      <c r="AQ104" s="31" t="s">
        <v>697</v>
      </c>
    </row>
    <row r="105" spans="33:43" ht="30">
      <c r="AG105" t="str">
        <f t="shared" si="3"/>
        <v>Haspelkette - links</v>
      </c>
      <c r="AH105" t="s">
        <v>698</v>
      </c>
      <c r="AI105" t="s">
        <v>699</v>
      </c>
      <c r="AJ105" t="s">
        <v>700</v>
      </c>
      <c r="AK105" t="s">
        <v>701</v>
      </c>
      <c r="AL105" t="s">
        <v>702</v>
      </c>
      <c r="AM105" t="s">
        <v>703</v>
      </c>
      <c r="AN105" t="s">
        <v>704</v>
      </c>
      <c r="AO105" t="s">
        <v>705</v>
      </c>
      <c r="AP105" s="91" t="s">
        <v>706</v>
      </c>
    </row>
    <row r="106" spans="33:43">
      <c r="AG106" t="str">
        <f t="shared" si="3"/>
        <v>Haspelkette - rechts</v>
      </c>
      <c r="AH106" t="s">
        <v>707</v>
      </c>
      <c r="AI106" t="s">
        <v>708</v>
      </c>
      <c r="AJ106" t="s">
        <v>709</v>
      </c>
      <c r="AK106" s="92" t="s">
        <v>710</v>
      </c>
      <c r="AL106" t="s">
        <v>711</v>
      </c>
      <c r="AM106" t="s">
        <v>712</v>
      </c>
      <c r="AN106" t="s">
        <v>713</v>
      </c>
      <c r="AO106" t="s">
        <v>714</v>
      </c>
      <c r="AP106" t="s">
        <v>715</v>
      </c>
    </row>
    <row r="107" spans="33:43">
      <c r="AG107" t="str">
        <f t="shared" si="3"/>
        <v>Antriebesposition</v>
      </c>
      <c r="AH107" t="s">
        <v>716</v>
      </c>
      <c r="AI107" t="s">
        <v>717</v>
      </c>
      <c r="AJ107" t="s">
        <v>718</v>
      </c>
      <c r="AK107" t="s">
        <v>719</v>
      </c>
      <c r="AL107" t="s">
        <v>720</v>
      </c>
      <c r="AM107" s="19" t="s">
        <v>721</v>
      </c>
      <c r="AN107" t="s">
        <v>722</v>
      </c>
      <c r="AO107" t="s">
        <v>723</v>
      </c>
      <c r="AP107" t="s">
        <v>724</v>
      </c>
    </row>
    <row r="108" spans="33:43">
      <c r="AG108" t="str">
        <f t="shared" si="3"/>
        <v>Antrieb - links</v>
      </c>
      <c r="AH108" t="s">
        <v>725</v>
      </c>
      <c r="AI108" t="s">
        <v>726</v>
      </c>
      <c r="AJ108" t="s">
        <v>727</v>
      </c>
      <c r="AK108" t="s">
        <v>728</v>
      </c>
      <c r="AL108" t="s">
        <v>729</v>
      </c>
      <c r="AM108" t="s">
        <v>730</v>
      </c>
      <c r="AN108" t="s">
        <v>731</v>
      </c>
      <c r="AO108" t="s">
        <v>732</v>
      </c>
      <c r="AP108" t="s">
        <v>733</v>
      </c>
    </row>
    <row r="109" spans="33:43">
      <c r="AG109" t="str">
        <f t="shared" si="3"/>
        <v>Antrieb - rechts</v>
      </c>
      <c r="AH109" t="s">
        <v>734</v>
      </c>
      <c r="AI109" t="s">
        <v>735</v>
      </c>
      <c r="AJ109" t="s">
        <v>736</v>
      </c>
      <c r="AK109" t="s">
        <v>737</v>
      </c>
      <c r="AL109" t="s">
        <v>738</v>
      </c>
      <c r="AM109" t="s">
        <v>739</v>
      </c>
      <c r="AN109" t="s">
        <v>740</v>
      </c>
      <c r="AO109" t="s">
        <v>741</v>
      </c>
      <c r="AP109" t="s">
        <v>742</v>
      </c>
    </row>
    <row r="110" spans="33:43">
      <c r="AG110" t="str">
        <f t="shared" si="3"/>
        <v xml:space="preserve">Benötigter Freiraum </v>
      </c>
      <c r="AH110" t="s">
        <v>743</v>
      </c>
      <c r="AI110" t="s">
        <v>744</v>
      </c>
      <c r="AJ110" t="s">
        <v>745</v>
      </c>
      <c r="AK110" t="s">
        <v>746</v>
      </c>
      <c r="AL110" t="s">
        <v>747</v>
      </c>
      <c r="AN110" t="s">
        <v>748</v>
      </c>
      <c r="AO110" t="s">
        <v>749</v>
      </c>
      <c r="AP110" t="s">
        <v>750</v>
      </c>
    </row>
    <row r="112" spans="33:43">
      <c r="AG112" t="str">
        <f t="shared" si="3"/>
        <v>Seine ohne Antrieb</v>
      </c>
      <c r="AH112" t="s">
        <v>751</v>
      </c>
      <c r="AI112" t="s">
        <v>752</v>
      </c>
      <c r="AJ112" t="s">
        <v>753</v>
      </c>
      <c r="AK112" t="s">
        <v>754</v>
      </c>
      <c r="AL112" t="s">
        <v>755</v>
      </c>
      <c r="AN112" t="s">
        <v>756</v>
      </c>
      <c r="AO112" t="s">
        <v>757</v>
      </c>
      <c r="AP112" t="s">
        <v>758</v>
      </c>
    </row>
    <row r="113" spans="33:58">
      <c r="AG113" t="str">
        <f t="shared" si="3"/>
        <v>Tore mit Antrieb oder Hanspelkettenantrieb müssen Seilspannvorrichtung (für Zurückziehung) der ist immer rechts montiert (es ist nicht wichtig wo Antrieb montiert ist) enthalten.</v>
      </c>
      <c r="AH113" t="s">
        <v>759</v>
      </c>
      <c r="AI113" t="s">
        <v>760</v>
      </c>
      <c r="AJ113" t="s">
        <v>761</v>
      </c>
      <c r="AK113" t="s">
        <v>762</v>
      </c>
      <c r="AL113" t="s">
        <v>763</v>
      </c>
      <c r="AN113" t="s">
        <v>764</v>
      </c>
      <c r="AO113" t="s">
        <v>765</v>
      </c>
      <c r="AP113" t="s">
        <v>766</v>
      </c>
    </row>
    <row r="115" spans="33:58">
      <c r="AG115" t="str">
        <f t="shared" si="3"/>
        <v>Deckenwinkel</v>
      </c>
      <c r="AH115" s="93" t="s">
        <v>767</v>
      </c>
      <c r="AI115" s="93" t="s">
        <v>768</v>
      </c>
      <c r="AJ115" s="93" t="s">
        <v>769</v>
      </c>
      <c r="AK115" s="93" t="s">
        <v>443</v>
      </c>
      <c r="AL115" s="93" t="s">
        <v>770</v>
      </c>
      <c r="AM115" s="93"/>
      <c r="AN115" s="93" t="s">
        <v>771</v>
      </c>
      <c r="AO115" s="93" t="s">
        <v>772</v>
      </c>
      <c r="AP115" s="93" t="s">
        <v>773</v>
      </c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</row>
    <row r="116" spans="33:58">
      <c r="AG116" t="str">
        <f t="shared" si="3"/>
        <v>Aufhängepunkt für Vierkantrohr</v>
      </c>
      <c r="AH116" s="93" t="s">
        <v>774</v>
      </c>
      <c r="AI116" s="93" t="s">
        <v>775</v>
      </c>
      <c r="AJ116" s="93" t="s">
        <v>776</v>
      </c>
      <c r="AK116" s="93" t="s">
        <v>777</v>
      </c>
      <c r="AL116" s="93" t="s">
        <v>778</v>
      </c>
      <c r="AM116" s="93"/>
      <c r="AN116" s="93" t="s">
        <v>779</v>
      </c>
      <c r="AO116" s="93" t="s">
        <v>780</v>
      </c>
      <c r="AP116" s="93" t="s">
        <v>781</v>
      </c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</row>
    <row r="118" spans="33:58">
      <c r="AG118" t="str">
        <f t="shared" si="3"/>
        <v>Rechteckigerohre 80x40x2 (verzinkt) ist ein Lieferungsbestandteil. Er muss fest an die Decke in drei Punkten befestigt werden, (beim Torblatt bis 10 m2 reichen 2 Punkte).</v>
      </c>
      <c r="AH118" t="s">
        <v>782</v>
      </c>
      <c r="AI118" t="s">
        <v>783</v>
      </c>
      <c r="AJ118" t="s">
        <v>784</v>
      </c>
      <c r="AK118" t="s">
        <v>785</v>
      </c>
      <c r="AL118" t="s">
        <v>786</v>
      </c>
      <c r="AN118" t="s">
        <v>787</v>
      </c>
      <c r="AO118" t="s">
        <v>788</v>
      </c>
      <c r="AP118" t="s">
        <v>773</v>
      </c>
    </row>
    <row r="119" spans="33:58">
      <c r="AG119">
        <f t="shared" si="3"/>
        <v>0</v>
      </c>
      <c r="AH119" t="s">
        <v>789</v>
      </c>
      <c r="AI119" t="s">
        <v>790</v>
      </c>
      <c r="AN119" t="s">
        <v>791</v>
      </c>
      <c r="AO119" t="s">
        <v>792</v>
      </c>
      <c r="AP119" t="s">
        <v>793</v>
      </c>
    </row>
    <row r="120" spans="33:58">
      <c r="AG120" t="str">
        <f t="shared" si="3"/>
        <v>Paneel-Typ</v>
      </c>
      <c r="AH120" t="s">
        <v>794</v>
      </c>
      <c r="AI120" t="s">
        <v>795</v>
      </c>
      <c r="AJ120" t="s">
        <v>796</v>
      </c>
      <c r="AK120" t="s">
        <v>797</v>
      </c>
      <c r="AL120" t="s">
        <v>798</v>
      </c>
      <c r="AM120" t="s">
        <v>799</v>
      </c>
      <c r="AN120" t="s">
        <v>800</v>
      </c>
      <c r="AO120" t="s">
        <v>801</v>
      </c>
      <c r="AP120" t="s">
        <v>802</v>
      </c>
    </row>
    <row r="121" spans="33:58">
      <c r="AG121" t="str">
        <f t="shared" si="3"/>
        <v>40mm</v>
      </c>
      <c r="AH121" t="s">
        <v>803</v>
      </c>
      <c r="AI121" t="s">
        <v>803</v>
      </c>
      <c r="AJ121" t="s">
        <v>803</v>
      </c>
      <c r="AK121" t="s">
        <v>803</v>
      </c>
      <c r="AL121" t="s">
        <v>803</v>
      </c>
      <c r="AM121" t="s">
        <v>803</v>
      </c>
      <c r="AN121" t="s">
        <v>804</v>
      </c>
      <c r="AO121" t="s">
        <v>803</v>
      </c>
      <c r="AP121" t="s">
        <v>805</v>
      </c>
    </row>
    <row r="122" spans="33:58">
      <c r="AG122" t="str">
        <f t="shared" si="3"/>
        <v>80mm</v>
      </c>
      <c r="AH122" t="s">
        <v>806</v>
      </c>
      <c r="AI122" t="s">
        <v>806</v>
      </c>
      <c r="AJ122" t="s">
        <v>806</v>
      </c>
      <c r="AK122" t="s">
        <v>806</v>
      </c>
      <c r="AL122" t="s">
        <v>806</v>
      </c>
      <c r="AM122" t="s">
        <v>806</v>
      </c>
      <c r="AN122" t="s">
        <v>807</v>
      </c>
      <c r="AO122" t="s">
        <v>806</v>
      </c>
      <c r="AP122" t="s">
        <v>808</v>
      </c>
    </row>
    <row r="123" spans="33:58">
      <c r="AG123" t="str">
        <f t="shared" ref="AG123:AG124" si="4">VLOOKUP(AH123,AH123:AR218,$AE$1,FALSE)</f>
        <v xml:space="preserve">Antriebseite </v>
      </c>
      <c r="AH123" t="s">
        <v>809</v>
      </c>
      <c r="AI123" t="s">
        <v>810</v>
      </c>
      <c r="AJ123" t="s">
        <v>811</v>
      </c>
      <c r="AK123" t="s">
        <v>812</v>
      </c>
      <c r="AL123" t="s">
        <v>813</v>
      </c>
      <c r="AM123" t="s">
        <v>814</v>
      </c>
      <c r="AN123" t="s">
        <v>815</v>
      </c>
      <c r="AO123" t="s">
        <v>816</v>
      </c>
      <c r="AP123" t="s">
        <v>817</v>
      </c>
    </row>
    <row r="124" spans="33:58">
      <c r="AG124" t="str">
        <f t="shared" si="4"/>
        <v xml:space="preserve">Andere Seite </v>
      </c>
      <c r="AH124" t="s">
        <v>818</v>
      </c>
      <c r="AI124" t="s">
        <v>819</v>
      </c>
      <c r="AJ124" t="s">
        <v>820</v>
      </c>
      <c r="AK124" t="s">
        <v>821</v>
      </c>
      <c r="AL124" t="s">
        <v>822</v>
      </c>
      <c r="AM124" t="s">
        <v>823</v>
      </c>
      <c r="AN124" t="s">
        <v>824</v>
      </c>
      <c r="AO124" t="s">
        <v>825</v>
      </c>
      <c r="AP124" t="s">
        <v>826</v>
      </c>
    </row>
    <row r="125" spans="33:58">
      <c r="AG125" t="str">
        <f t="shared" ref="AG125:AG126" si="5">VLOOKUP(AH125,AH125:AR219,$AE$1,FALSE)</f>
        <v>Angebot/Bestellung:</v>
      </c>
      <c r="AH125" t="s">
        <v>827</v>
      </c>
      <c r="AI125" t="s">
        <v>828</v>
      </c>
      <c r="AJ125" t="s">
        <v>829</v>
      </c>
      <c r="AK125" t="s">
        <v>830</v>
      </c>
      <c r="AL125" t="s">
        <v>831</v>
      </c>
      <c r="AM125" t="s">
        <v>832</v>
      </c>
      <c r="AN125" t="s">
        <v>833</v>
      </c>
      <c r="AO125" t="s">
        <v>834</v>
      </c>
      <c r="AP125" t="s">
        <v>835</v>
      </c>
    </row>
    <row r="126" spans="33:58">
      <c r="AG126" t="str">
        <f t="shared" si="5"/>
        <v>Position:</v>
      </c>
      <c r="AH126" t="s">
        <v>836</v>
      </c>
      <c r="AI126" t="s">
        <v>837</v>
      </c>
      <c r="AJ126" t="s">
        <v>837</v>
      </c>
      <c r="AK126" t="s">
        <v>838</v>
      </c>
      <c r="AL126" t="s">
        <v>839</v>
      </c>
      <c r="AM126" t="s">
        <v>840</v>
      </c>
      <c r="AN126" t="s">
        <v>841</v>
      </c>
      <c r="AO126" t="s">
        <v>842</v>
      </c>
      <c r="AP126" t="s">
        <v>843</v>
      </c>
    </row>
  </sheetData>
  <sheetProtection algorithmName="SHA-512" hashValue="SgVSafnsRPcC/JYVyIgNH3Awny1kLsmNfM0tSmeqnLQ/bz5NHiNHgJg/iwRaG2QBMVk44Q+a8qO25LvYmMB+NQ==" saltValue="G9J8fdfTA2Itgw5f/98KTw==" spinCount="100000" sheet="1" selectLockedCells="1"/>
  <mergeCells count="53">
    <mergeCell ref="K9:M9"/>
    <mergeCell ref="W2:AB3"/>
    <mergeCell ref="X4:AB4"/>
    <mergeCell ref="X5:AB5"/>
    <mergeCell ref="K7:N7"/>
    <mergeCell ref="R7:S7"/>
    <mergeCell ref="N11:O11"/>
    <mergeCell ref="D12:F12"/>
    <mergeCell ref="E13:F13"/>
    <mergeCell ref="S13:S15"/>
    <mergeCell ref="E14:G14"/>
    <mergeCell ref="P14:P15"/>
    <mergeCell ref="Q14:R15"/>
    <mergeCell ref="B16:B20"/>
    <mergeCell ref="C16:C18"/>
    <mergeCell ref="S16:S18"/>
    <mergeCell ref="T18:T20"/>
    <mergeCell ref="I19:J19"/>
    <mergeCell ref="S19:S24"/>
    <mergeCell ref="C20:C21"/>
    <mergeCell ref="J20:O20"/>
    <mergeCell ref="T21:U21"/>
    <mergeCell ref="T22:T24"/>
    <mergeCell ref="R53:AB54"/>
    <mergeCell ref="B23:B25"/>
    <mergeCell ref="H27:H29"/>
    <mergeCell ref="Y32:AA33"/>
    <mergeCell ref="Q33:Q34"/>
    <mergeCell ref="F34:G34"/>
    <mergeCell ref="E37:F37"/>
    <mergeCell ref="Y38:AA39"/>
    <mergeCell ref="B41:B43"/>
    <mergeCell ref="Y41:AA42"/>
    <mergeCell ref="F44:G44"/>
    <mergeCell ref="R50:AB51"/>
    <mergeCell ref="M63:P63"/>
    <mergeCell ref="R63:U64"/>
    <mergeCell ref="V63:AB67"/>
    <mergeCell ref="O65:P65"/>
    <mergeCell ref="R55:AB56"/>
    <mergeCell ref="M59:P59"/>
    <mergeCell ref="M61:P61"/>
    <mergeCell ref="R61:S61"/>
    <mergeCell ref="T61:U61"/>
    <mergeCell ref="V61:W61"/>
    <mergeCell ref="X61:Y61"/>
    <mergeCell ref="V68:Y69"/>
    <mergeCell ref="AA68:AB68"/>
    <mergeCell ref="AA69:AB69"/>
    <mergeCell ref="R62:S62"/>
    <mergeCell ref="T62:U62"/>
    <mergeCell ref="V62:W62"/>
    <mergeCell ref="X62:Y62"/>
  </mergeCells>
  <conditionalFormatting sqref="R7:S7">
    <cfRule type="expression" dxfId="0" priority="1" stopIfTrue="1">
      <formula>AND(OR($K$7=$AG$102,K7=""))</formula>
    </cfRule>
  </conditionalFormatting>
  <dataValidations count="5">
    <dataValidation type="list" allowBlank="1" showInputMessage="1" showErrorMessage="1" sqref="K7" xr:uid="{319D4BD6-DCE2-42AC-8644-FDA4200C3F1E}">
      <formula1>$AU$1:$AU$5</formula1>
    </dataValidation>
    <dataValidation type="list" allowBlank="1" showInputMessage="1" showErrorMessage="1" sqref="E5" xr:uid="{613A1F9B-53F9-417A-BC5B-5F43871761AD}">
      <formula1>$AD$3:$AD$11</formula1>
    </dataValidation>
    <dataValidation type="list" allowBlank="1" showInputMessage="1" showErrorMessage="1" sqref="K9" xr:uid="{D3E9D333-47B9-4913-A622-A0B4B2EB95CA}">
      <formula1>AG121:AG122</formula1>
    </dataValidation>
    <dataValidation type="custom" allowBlank="1" showInputMessage="1" showErrorMessage="1" error="H max- 5000 mm_x000a__x000a_W x H max 23 m2" sqref="K5" xr:uid="{485C6897-8122-4118-AF9D-15CA27E3C035}">
      <formula1>IF(OR(K5&gt;5000,K3/1000*K5/1000&gt;23),FALSE,TRUE)</formula1>
    </dataValidation>
    <dataValidation type="custom" allowBlank="1" showInputMessage="1" showErrorMessage="1" error="W max 6000 mm" sqref="K3" xr:uid="{A10BC1D9-5750-49B4-808D-05A025D0D302}">
      <formula1>IF(OR(K3&gt;6000,K3/1000*K5/1000&gt;23),FALSE,TRUE)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8" scale="69" orientation="landscape" r:id="rId1"/>
  <rowBreaks count="1" manualBreakCount="1">
    <brk id="69" max="16383" man="1"/>
  </rowBreaks>
  <colBreaks count="2" manualBreakCount="2">
    <brk id="28" max="1048575" man="1"/>
    <brk id="29" max="6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69514-2D9C-4C4A-A516-1B468CB5A85D}">
  <sheetPr codeName="List2"/>
  <dimension ref="A1:I49"/>
  <sheetViews>
    <sheetView showGridLines="0" workbookViewId="0">
      <selection activeCell="H42" sqref="H42:I49"/>
    </sheetView>
  </sheetViews>
  <sheetFormatPr baseColWidth="10" defaultColWidth="9.140625" defaultRowHeight="15"/>
  <sheetData>
    <row r="1" spans="1:9">
      <c r="A1" s="94"/>
      <c r="B1" s="95"/>
      <c r="C1" s="95"/>
      <c r="D1" s="95"/>
      <c r="E1" s="95"/>
      <c r="F1" s="95"/>
      <c r="G1" s="95"/>
      <c r="H1" s="95"/>
      <c r="I1" s="96"/>
    </row>
    <row r="2" spans="1:9">
      <c r="A2" s="97"/>
      <c r="B2" s="30"/>
      <c r="C2" s="30"/>
      <c r="D2" s="30"/>
      <c r="E2" s="30"/>
      <c r="F2" s="30"/>
      <c r="G2" s="30"/>
      <c r="H2" s="30"/>
      <c r="I2" s="98"/>
    </row>
    <row r="3" spans="1:9">
      <c r="A3" s="97"/>
      <c r="B3" s="30"/>
      <c r="C3" s="21"/>
      <c r="D3" s="30"/>
      <c r="E3" s="30"/>
      <c r="F3" s="30"/>
      <c r="G3" s="30"/>
      <c r="H3" s="30"/>
      <c r="I3" s="98"/>
    </row>
    <row r="4" spans="1:9">
      <c r="A4" s="97"/>
      <c r="B4" s="20"/>
      <c r="C4" s="30"/>
      <c r="D4" s="30"/>
      <c r="E4" s="30"/>
      <c r="F4" s="30"/>
      <c r="G4" s="30"/>
      <c r="H4" s="30"/>
      <c r="I4" s="98"/>
    </row>
    <row r="5" spans="1:9">
      <c r="A5" s="151">
        <f>general!P58</f>
        <v>200</v>
      </c>
      <c r="B5" s="30"/>
      <c r="C5" s="30"/>
      <c r="D5" s="30"/>
      <c r="E5" s="30"/>
      <c r="F5" s="30"/>
      <c r="G5" s="30"/>
      <c r="H5" s="30"/>
      <c r="I5" s="98"/>
    </row>
    <row r="6" spans="1:9">
      <c r="A6" s="151"/>
      <c r="B6" s="30"/>
      <c r="C6" s="30"/>
      <c r="D6" s="30"/>
      <c r="E6" s="30"/>
      <c r="F6" s="30"/>
      <c r="G6" s="30"/>
      <c r="H6" s="30"/>
      <c r="I6" s="98"/>
    </row>
    <row r="7" spans="1:9">
      <c r="A7" s="151"/>
      <c r="B7" s="30"/>
      <c r="C7" s="30"/>
      <c r="D7" s="30"/>
      <c r="E7" s="30"/>
      <c r="F7" s="30"/>
      <c r="G7" s="30"/>
      <c r="H7" s="30"/>
      <c r="I7" s="98"/>
    </row>
    <row r="8" spans="1:9">
      <c r="A8" s="50"/>
      <c r="B8" s="30"/>
      <c r="C8" s="30"/>
      <c r="D8" s="30"/>
      <c r="E8" s="30"/>
      <c r="F8" s="30"/>
      <c r="G8" s="30"/>
      <c r="H8" s="30"/>
      <c r="I8" s="98"/>
    </row>
    <row r="9" spans="1:9">
      <c r="A9" s="50"/>
      <c r="B9" s="30"/>
      <c r="C9" s="30"/>
      <c r="D9" s="30"/>
      <c r="E9" s="30"/>
      <c r="F9" s="30"/>
      <c r="G9" s="30"/>
      <c r="H9" s="30"/>
      <c r="I9" s="98"/>
    </row>
    <row r="10" spans="1:9">
      <c r="A10" s="97"/>
      <c r="B10" s="30"/>
      <c r="C10" s="30"/>
      <c r="D10" s="30"/>
      <c r="E10" s="30"/>
      <c r="F10" s="30"/>
      <c r="G10" s="30"/>
      <c r="H10" s="30"/>
      <c r="I10" s="98"/>
    </row>
    <row r="11" spans="1:9">
      <c r="A11" s="97"/>
      <c r="B11" s="30"/>
      <c r="C11" s="30"/>
      <c r="D11" s="30"/>
      <c r="E11" s="30"/>
      <c r="F11" s="30"/>
      <c r="G11" s="30"/>
      <c r="H11" s="30"/>
      <c r="I11" s="98"/>
    </row>
    <row r="12" spans="1:9">
      <c r="A12" s="97"/>
      <c r="B12" s="30"/>
      <c r="C12" s="30"/>
      <c r="D12" s="30"/>
      <c r="E12" s="30"/>
      <c r="F12" s="30"/>
      <c r="G12" s="30"/>
      <c r="H12" s="30"/>
      <c r="I12" s="98"/>
    </row>
    <row r="13" spans="1:9">
      <c r="A13" s="97"/>
      <c r="B13" s="30"/>
      <c r="C13" s="30"/>
      <c r="D13" s="30"/>
      <c r="E13" s="30"/>
      <c r="F13" s="30"/>
      <c r="G13" s="30"/>
      <c r="H13" s="30"/>
      <c r="I13" s="98"/>
    </row>
    <row r="14" spans="1:9">
      <c r="A14" s="97"/>
      <c r="B14" s="30"/>
      <c r="C14" s="30"/>
      <c r="D14" s="30"/>
      <c r="E14" s="30"/>
      <c r="F14" s="30"/>
      <c r="G14" s="30"/>
      <c r="H14" s="30"/>
      <c r="I14" s="98"/>
    </row>
    <row r="15" spans="1:9">
      <c r="A15" s="189">
        <f>general!K5</f>
        <v>0</v>
      </c>
      <c r="B15" s="30"/>
      <c r="C15" s="30"/>
      <c r="D15" s="30"/>
      <c r="E15" s="30"/>
      <c r="F15" s="30"/>
      <c r="G15" s="30"/>
      <c r="H15" s="30"/>
      <c r="I15" s="98"/>
    </row>
    <row r="16" spans="1:9">
      <c r="A16" s="189"/>
      <c r="B16" s="30"/>
      <c r="C16" s="30"/>
      <c r="D16" s="30"/>
      <c r="E16" s="30"/>
      <c r="F16" s="30"/>
      <c r="G16" s="30"/>
      <c r="H16" s="30"/>
      <c r="I16" s="98"/>
    </row>
    <row r="17" spans="1:9">
      <c r="A17" s="189"/>
      <c r="B17" s="30"/>
      <c r="C17" s="30"/>
      <c r="D17" s="30"/>
      <c r="E17" s="30"/>
      <c r="F17" s="30"/>
      <c r="G17" s="30"/>
      <c r="H17" s="30"/>
      <c r="I17" s="98"/>
    </row>
    <row r="18" spans="1:9">
      <c r="A18" s="189"/>
      <c r="B18" s="30"/>
      <c r="C18" s="30"/>
      <c r="D18" s="30"/>
      <c r="E18" s="30"/>
      <c r="F18" s="30"/>
      <c r="G18" s="30"/>
      <c r="H18" s="30"/>
      <c r="I18" s="98"/>
    </row>
    <row r="19" spans="1:9">
      <c r="A19" s="97"/>
      <c r="B19" s="30"/>
      <c r="C19" s="30"/>
      <c r="D19" s="30"/>
      <c r="E19" s="30"/>
      <c r="F19" s="30"/>
      <c r="G19" s="30"/>
      <c r="H19" s="30"/>
      <c r="I19" s="98"/>
    </row>
    <row r="20" spans="1:9">
      <c r="A20" s="97"/>
      <c r="B20" s="30"/>
      <c r="C20" s="30"/>
      <c r="D20" s="30"/>
      <c r="E20" s="30"/>
      <c r="F20" s="30"/>
      <c r="G20" s="30"/>
      <c r="H20" s="30"/>
      <c r="I20" s="98"/>
    </row>
    <row r="21" spans="1:9">
      <c r="A21" s="97"/>
      <c r="B21" s="30"/>
      <c r="C21" s="30"/>
      <c r="D21" s="30"/>
      <c r="E21" s="30"/>
      <c r="F21" s="30"/>
      <c r="G21" s="30"/>
      <c r="H21" s="30"/>
      <c r="I21" s="98"/>
    </row>
    <row r="22" spans="1:9">
      <c r="A22" s="97"/>
      <c r="B22" s="30"/>
      <c r="C22" s="30"/>
      <c r="D22" s="30"/>
      <c r="E22" s="30"/>
      <c r="F22" s="30"/>
      <c r="G22" s="30"/>
      <c r="H22" s="30"/>
      <c r="I22" s="98"/>
    </row>
    <row r="23" spans="1:9">
      <c r="A23" s="97"/>
      <c r="B23" s="30"/>
      <c r="C23" s="30"/>
      <c r="D23" s="30"/>
      <c r="E23" s="30"/>
      <c r="F23" s="30"/>
      <c r="G23" s="30"/>
      <c r="H23" s="30"/>
      <c r="I23" s="98"/>
    </row>
    <row r="24" spans="1:9">
      <c r="A24" s="97"/>
      <c r="B24" s="30"/>
      <c r="C24" s="30"/>
      <c r="D24" s="30"/>
      <c r="E24" s="30"/>
      <c r="F24" s="30"/>
      <c r="G24" s="30"/>
      <c r="H24" s="30"/>
      <c r="I24" s="98"/>
    </row>
    <row r="25" spans="1:9">
      <c r="A25" s="97"/>
      <c r="B25" s="30"/>
      <c r="C25" s="30"/>
      <c r="D25" s="30"/>
      <c r="E25" s="30"/>
      <c r="F25" s="30"/>
      <c r="G25" s="30"/>
      <c r="H25" s="30"/>
      <c r="I25" s="98"/>
    </row>
    <row r="26" spans="1:9">
      <c r="A26" s="97"/>
      <c r="B26" s="30"/>
      <c r="C26" s="30"/>
      <c r="D26" s="30"/>
      <c r="E26" s="30"/>
      <c r="F26" s="30"/>
      <c r="G26" s="30"/>
      <c r="H26" s="30"/>
      <c r="I26" s="98"/>
    </row>
    <row r="27" spans="1:9">
      <c r="A27" s="97"/>
      <c r="B27" s="30"/>
      <c r="C27" s="30"/>
      <c r="D27" s="21"/>
      <c r="E27" s="30"/>
      <c r="F27" s="30"/>
      <c r="G27" s="21"/>
      <c r="H27" s="30"/>
      <c r="I27" s="98"/>
    </row>
    <row r="28" spans="1:9">
      <c r="A28" s="97"/>
      <c r="B28" s="30"/>
      <c r="C28" s="30"/>
      <c r="D28" s="30"/>
      <c r="E28" s="30"/>
      <c r="F28" s="21">
        <f>general!K3</f>
        <v>0</v>
      </c>
      <c r="G28" s="30"/>
      <c r="H28" s="30"/>
      <c r="I28" s="98"/>
    </row>
    <row r="29" spans="1:9">
      <c r="A29" s="97"/>
      <c r="B29" s="30"/>
      <c r="C29" s="30"/>
      <c r="D29" s="30"/>
      <c r="E29" s="30"/>
      <c r="F29" s="21"/>
      <c r="G29" s="30"/>
      <c r="H29" s="30"/>
      <c r="I29" s="98"/>
    </row>
    <row r="30" spans="1:9">
      <c r="A30" s="23"/>
      <c r="I30" s="5"/>
    </row>
    <row r="31" spans="1:9">
      <c r="A31" s="23"/>
      <c r="I31" s="5"/>
    </row>
    <row r="32" spans="1:9">
      <c r="A32" s="23"/>
      <c r="I32" s="5"/>
    </row>
    <row r="33" spans="1:9">
      <c r="A33" s="23"/>
      <c r="I33" s="5"/>
    </row>
    <row r="34" spans="1:9">
      <c r="A34" s="23"/>
      <c r="I34" s="5"/>
    </row>
    <row r="35" spans="1:9">
      <c r="A35" s="23"/>
      <c r="I35" s="5"/>
    </row>
    <row r="36" spans="1:9">
      <c r="A36" s="23"/>
      <c r="I36" s="5"/>
    </row>
    <row r="37" spans="1:9">
      <c r="A37" s="23"/>
      <c r="I37" s="5"/>
    </row>
    <row r="38" spans="1:9">
      <c r="A38" s="23"/>
      <c r="I38" s="5"/>
    </row>
    <row r="39" spans="1:9" ht="15.75" thickBot="1">
      <c r="A39" s="23"/>
      <c r="I39" s="5"/>
    </row>
    <row r="40" spans="1:9">
      <c r="A40" s="23"/>
      <c r="C40" s="114" t="str">
        <f>general!W2</f>
        <v>NIEDRIGSTURZ BESCHLAG (LL-DT)</v>
      </c>
      <c r="D40" s="115"/>
      <c r="E40" s="115"/>
      <c r="F40" s="115"/>
      <c r="G40" s="115"/>
      <c r="H40" s="115"/>
      <c r="I40" s="116"/>
    </row>
    <row r="41" spans="1:9" ht="15.75" thickBot="1">
      <c r="A41" s="23"/>
      <c r="C41" s="117"/>
      <c r="D41" s="118"/>
      <c r="E41" s="118"/>
      <c r="F41" s="118"/>
      <c r="G41" s="118"/>
      <c r="H41" s="118"/>
      <c r="I41" s="119"/>
    </row>
    <row r="42" spans="1:9" ht="15.75" thickBot="1">
      <c r="A42" s="23"/>
      <c r="C42" s="184" t="str">
        <f>general!AG106</f>
        <v>Haspelkette - rechts</v>
      </c>
      <c r="D42" s="185"/>
      <c r="E42" s="114" t="str">
        <f>general!AG109</f>
        <v>Antrieb - rechts</v>
      </c>
      <c r="F42" s="115"/>
      <c r="G42" s="116"/>
      <c r="H42" s="190"/>
      <c r="I42" s="190"/>
    </row>
    <row r="43" spans="1:9" ht="15.75" thickBot="1">
      <c r="A43" s="23"/>
      <c r="C43" s="186"/>
      <c r="D43" s="187"/>
      <c r="E43" s="117"/>
      <c r="F43" s="118"/>
      <c r="G43" s="119"/>
      <c r="H43" s="190"/>
      <c r="I43" s="190"/>
    </row>
    <row r="44" spans="1:9" ht="15.75" thickBot="1">
      <c r="A44" s="23"/>
      <c r="C44" s="184" t="str">
        <f>general!$R$61</f>
        <v>Aufgestellt:</v>
      </c>
      <c r="D44" s="185"/>
      <c r="E44" s="191"/>
      <c r="F44" s="191"/>
      <c r="G44" s="191"/>
      <c r="H44" s="190"/>
      <c r="I44" s="190"/>
    </row>
    <row r="45" spans="1:9" ht="15.75" thickBot="1">
      <c r="A45" s="23"/>
      <c r="C45" s="186"/>
      <c r="D45" s="187"/>
      <c r="E45" s="191"/>
      <c r="F45" s="191"/>
      <c r="G45" s="191"/>
      <c r="H45" s="190"/>
      <c r="I45" s="190"/>
    </row>
    <row r="46" spans="1:9" ht="15.75" thickBot="1">
      <c r="A46" s="23"/>
      <c r="C46" s="184" t="str">
        <f>general!$T$61</f>
        <v>Bereinigt:</v>
      </c>
      <c r="D46" s="185"/>
      <c r="E46" s="191"/>
      <c r="F46" s="191"/>
      <c r="G46" s="191"/>
      <c r="H46" s="190"/>
      <c r="I46" s="190"/>
    </row>
    <row r="47" spans="1:9" ht="15.75" thickBot="1">
      <c r="A47" s="23"/>
      <c r="C47" s="186"/>
      <c r="D47" s="187"/>
      <c r="E47" s="191"/>
      <c r="F47" s="191"/>
      <c r="G47" s="191"/>
      <c r="H47" s="190"/>
      <c r="I47" s="190"/>
    </row>
    <row r="48" spans="1:9" ht="15.75" thickBot="1">
      <c r="A48" s="23"/>
      <c r="C48" s="184" t="str">
        <f>general!$Z$61</f>
        <v>Datum:</v>
      </c>
      <c r="D48" s="185"/>
      <c r="E48" s="188"/>
      <c r="F48" s="188"/>
      <c r="G48" s="188"/>
      <c r="H48" s="190"/>
      <c r="I48" s="190"/>
    </row>
    <row r="49" spans="1:9" ht="15.75" thickBot="1">
      <c r="A49" s="87"/>
      <c r="B49" s="1"/>
      <c r="C49" s="186"/>
      <c r="D49" s="187"/>
      <c r="E49" s="188"/>
      <c r="F49" s="188"/>
      <c r="G49" s="188"/>
      <c r="H49" s="190"/>
      <c r="I49" s="190"/>
    </row>
  </sheetData>
  <sheetProtection algorithmName="SHA-512" hashValue="VJdolkUAw2ZGslg8SvF8MhMZbnaFH3egMNUSUKbUNgHnV4NkHjH/7Q/v6R6mVsfzAnPGQx51s3U+zwYcoNkRbQ==" saltValue="H/PvkQgf29h7ryb5MSUXEA==" spinCount="100000" sheet="1" selectLockedCells="1"/>
  <mergeCells count="12">
    <mergeCell ref="C48:D49"/>
    <mergeCell ref="E48:G49"/>
    <mergeCell ref="A5:A7"/>
    <mergeCell ref="A15:A18"/>
    <mergeCell ref="C40:I41"/>
    <mergeCell ref="C42:D43"/>
    <mergeCell ref="E42:G43"/>
    <mergeCell ref="H42:I49"/>
    <mergeCell ref="C44:D45"/>
    <mergeCell ref="E44:G45"/>
    <mergeCell ref="C46:D47"/>
    <mergeCell ref="E46:G4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77492-2B58-4CFC-ABF3-C6759FD3233E}">
  <sheetPr codeName="List3"/>
  <dimension ref="A1:L49"/>
  <sheetViews>
    <sheetView showGridLines="0" view="pageBreakPreview" topLeftCell="A22" zoomScaleNormal="100" zoomScaleSheetLayoutView="100" workbookViewId="0">
      <selection activeCell="E44" sqref="E44:G45"/>
    </sheetView>
  </sheetViews>
  <sheetFormatPr baseColWidth="10" defaultColWidth="9.140625" defaultRowHeight="15"/>
  <sheetData>
    <row r="1" spans="1:9">
      <c r="A1" s="2"/>
      <c r="B1" s="6"/>
      <c r="C1" s="6"/>
      <c r="D1" s="6"/>
      <c r="E1" s="6"/>
      <c r="F1" s="6"/>
      <c r="G1" s="6"/>
      <c r="H1" s="6"/>
      <c r="I1" s="99"/>
    </row>
    <row r="2" spans="1:9">
      <c r="A2" s="97"/>
      <c r="B2" s="30"/>
      <c r="C2" s="30"/>
      <c r="D2" s="30"/>
      <c r="E2" s="30"/>
      <c r="F2" s="30"/>
      <c r="G2" s="30"/>
      <c r="H2" s="30"/>
      <c r="I2" s="98"/>
    </row>
    <row r="3" spans="1:9">
      <c r="A3" s="97"/>
      <c r="B3" s="30"/>
      <c r="C3" s="21"/>
      <c r="D3" s="30"/>
      <c r="E3" s="30"/>
      <c r="F3" s="30"/>
      <c r="G3" s="30"/>
      <c r="H3" s="30"/>
      <c r="I3" s="98"/>
    </row>
    <row r="4" spans="1:9">
      <c r="A4" s="97"/>
      <c r="B4" s="20"/>
      <c r="C4" s="30"/>
      <c r="D4" s="30"/>
      <c r="E4" s="30"/>
      <c r="F4" s="30"/>
      <c r="G4" s="30"/>
      <c r="H4" s="30"/>
      <c r="I4" s="98"/>
    </row>
    <row r="5" spans="1:9">
      <c r="A5" s="151">
        <f>general!P58</f>
        <v>200</v>
      </c>
      <c r="B5" s="30"/>
      <c r="C5" s="30"/>
      <c r="D5" s="30"/>
      <c r="E5" s="30"/>
      <c r="F5" s="30"/>
      <c r="G5" s="30"/>
      <c r="H5" s="30"/>
      <c r="I5" s="98"/>
    </row>
    <row r="6" spans="1:9">
      <c r="A6" s="151"/>
      <c r="B6" s="30"/>
      <c r="C6" s="30"/>
      <c r="D6" s="30"/>
      <c r="E6" s="30"/>
      <c r="F6" s="30"/>
      <c r="G6" s="30"/>
      <c r="H6" s="30"/>
      <c r="I6" s="98"/>
    </row>
    <row r="7" spans="1:9">
      <c r="A7" s="151"/>
      <c r="B7" s="30"/>
      <c r="C7" s="30"/>
      <c r="D7" s="30"/>
      <c r="E7" s="30"/>
      <c r="F7" s="30"/>
      <c r="G7" s="30"/>
      <c r="H7" s="30"/>
      <c r="I7" s="98"/>
    </row>
    <row r="8" spans="1:9">
      <c r="A8" s="50"/>
      <c r="B8" s="30"/>
      <c r="C8" s="30"/>
      <c r="D8" s="30"/>
      <c r="E8" s="30"/>
      <c r="F8" s="30"/>
      <c r="G8" s="30"/>
      <c r="H8" s="30"/>
      <c r="I8" s="98"/>
    </row>
    <row r="9" spans="1:9">
      <c r="A9" s="50"/>
      <c r="B9" s="30"/>
      <c r="C9" s="30"/>
      <c r="D9" s="30"/>
      <c r="E9" s="30"/>
      <c r="F9" s="30"/>
      <c r="G9" s="30"/>
      <c r="H9" s="30"/>
      <c r="I9" s="98"/>
    </row>
    <row r="10" spans="1:9">
      <c r="A10" s="97"/>
      <c r="B10" s="30"/>
      <c r="C10" s="30"/>
      <c r="D10" s="30"/>
      <c r="E10" s="30"/>
      <c r="F10" s="30"/>
      <c r="G10" s="30"/>
      <c r="H10" s="30"/>
      <c r="I10" s="98"/>
    </row>
    <row r="11" spans="1:9">
      <c r="A11" s="97"/>
      <c r="B11" s="30"/>
      <c r="C11" s="30"/>
      <c r="D11" s="30"/>
      <c r="E11" s="30"/>
      <c r="F11" s="30"/>
      <c r="G11" s="30"/>
      <c r="H11" s="30"/>
      <c r="I11" s="98"/>
    </row>
    <row r="12" spans="1:9">
      <c r="A12" s="97"/>
      <c r="B12" s="30"/>
      <c r="C12" s="30"/>
      <c r="D12" s="30"/>
      <c r="E12" s="30"/>
      <c r="F12" s="30"/>
      <c r="G12" s="30"/>
      <c r="H12" s="30"/>
      <c r="I12" s="98"/>
    </row>
    <row r="13" spans="1:9">
      <c r="A13" s="97"/>
      <c r="B13" s="30"/>
      <c r="C13" s="30"/>
      <c r="D13" s="30"/>
      <c r="E13" s="30"/>
      <c r="F13" s="30"/>
      <c r="G13" s="30"/>
      <c r="H13" s="30"/>
      <c r="I13" s="98"/>
    </row>
    <row r="14" spans="1:9">
      <c r="A14" s="97"/>
      <c r="B14" s="30"/>
      <c r="C14" s="30"/>
      <c r="D14" s="30"/>
      <c r="E14" s="30"/>
      <c r="F14" s="30"/>
      <c r="G14" s="30"/>
      <c r="H14" s="30"/>
      <c r="I14" s="98"/>
    </row>
    <row r="15" spans="1:9">
      <c r="A15" s="189">
        <f>general!K5</f>
        <v>0</v>
      </c>
      <c r="B15" s="30"/>
      <c r="C15" s="30"/>
      <c r="D15" s="30"/>
      <c r="E15" s="30"/>
      <c r="F15" s="30"/>
      <c r="G15" s="30"/>
      <c r="H15" s="30"/>
      <c r="I15" s="98"/>
    </row>
    <row r="16" spans="1:9">
      <c r="A16" s="189"/>
      <c r="B16" s="30"/>
      <c r="C16" s="30"/>
      <c r="D16" s="30"/>
      <c r="E16" s="30"/>
      <c r="F16" s="30"/>
      <c r="G16" s="30"/>
      <c r="H16" s="30"/>
      <c r="I16" s="98"/>
    </row>
    <row r="17" spans="1:12">
      <c r="A17" s="189"/>
      <c r="B17" s="30"/>
      <c r="C17" s="30"/>
      <c r="D17" s="30"/>
      <c r="E17" s="30"/>
      <c r="F17" s="30"/>
      <c r="G17" s="30"/>
      <c r="H17" s="30"/>
      <c r="I17" s="98"/>
    </row>
    <row r="18" spans="1:12">
      <c r="A18" s="189"/>
      <c r="B18" s="30"/>
      <c r="C18" s="30"/>
      <c r="D18" s="30"/>
      <c r="E18" s="30"/>
      <c r="F18" s="30"/>
      <c r="G18" s="30"/>
      <c r="H18" s="30"/>
      <c r="I18" s="98"/>
    </row>
    <row r="19" spans="1:12">
      <c r="A19" s="97"/>
      <c r="B19" s="30"/>
      <c r="C19" s="30"/>
      <c r="D19" s="30"/>
      <c r="E19" s="30"/>
      <c r="F19" s="30"/>
      <c r="G19" s="30"/>
      <c r="H19" s="30"/>
      <c r="I19" s="98"/>
    </row>
    <row r="20" spans="1:12">
      <c r="A20" s="97"/>
      <c r="B20" s="30"/>
      <c r="C20" s="30"/>
      <c r="D20" s="30"/>
      <c r="E20" s="30"/>
      <c r="F20" s="30"/>
      <c r="G20" s="30"/>
      <c r="H20" s="30"/>
      <c r="I20" s="98"/>
    </row>
    <row r="21" spans="1:12">
      <c r="A21" s="97"/>
      <c r="B21" s="30"/>
      <c r="C21" s="30"/>
      <c r="D21" s="30"/>
      <c r="E21" s="30"/>
      <c r="F21" s="30"/>
      <c r="G21" s="30"/>
      <c r="H21" s="30"/>
      <c r="I21" s="98"/>
    </row>
    <row r="22" spans="1:12">
      <c r="A22" s="97"/>
      <c r="B22" s="30"/>
      <c r="C22" s="30"/>
      <c r="D22" s="30"/>
      <c r="E22" s="30"/>
      <c r="F22" s="30"/>
      <c r="G22" s="30"/>
      <c r="H22" s="30"/>
      <c r="I22" s="98"/>
      <c r="L22" s="100"/>
    </row>
    <row r="23" spans="1:12">
      <c r="A23" s="97"/>
      <c r="B23" s="30"/>
      <c r="C23" s="30"/>
      <c r="D23" s="30"/>
      <c r="E23" s="30"/>
      <c r="F23" s="30"/>
      <c r="G23" s="30"/>
      <c r="H23" s="30"/>
      <c r="I23" s="98"/>
    </row>
    <row r="24" spans="1:12">
      <c r="A24" s="97"/>
      <c r="B24" s="30"/>
      <c r="C24" s="30"/>
      <c r="D24" s="30"/>
      <c r="E24" s="30"/>
      <c r="F24" s="30"/>
      <c r="G24" s="30"/>
      <c r="H24" s="30"/>
      <c r="I24" s="98"/>
    </row>
    <row r="25" spans="1:12">
      <c r="A25" s="97"/>
      <c r="B25" s="30"/>
      <c r="C25" s="30"/>
      <c r="D25" s="30"/>
      <c r="E25" s="30"/>
      <c r="F25" s="30"/>
      <c r="G25" s="30"/>
      <c r="H25" s="30"/>
      <c r="I25" s="98"/>
    </row>
    <row r="26" spans="1:12">
      <c r="A26" s="97"/>
      <c r="B26" s="30"/>
      <c r="C26" s="30"/>
      <c r="D26" s="30"/>
      <c r="E26" s="30"/>
      <c r="F26" s="30"/>
      <c r="G26" s="30"/>
      <c r="H26" s="30"/>
      <c r="I26" s="98"/>
    </row>
    <row r="27" spans="1:12">
      <c r="A27" s="97"/>
      <c r="B27" s="30"/>
      <c r="C27" s="30"/>
      <c r="D27" s="21"/>
      <c r="E27" s="30"/>
      <c r="F27" s="30"/>
      <c r="G27" s="21"/>
      <c r="H27" s="30"/>
      <c r="I27" s="98"/>
    </row>
    <row r="28" spans="1:12">
      <c r="A28" s="97"/>
      <c r="B28" s="30"/>
      <c r="C28" s="30"/>
      <c r="D28" s="30"/>
      <c r="E28" s="30"/>
      <c r="F28" s="21">
        <f>general!K3</f>
        <v>0</v>
      </c>
      <c r="G28" s="30"/>
      <c r="H28" s="30"/>
      <c r="I28" s="98"/>
    </row>
    <row r="29" spans="1:12">
      <c r="A29" s="97"/>
      <c r="B29" s="30"/>
      <c r="C29" s="30"/>
      <c r="D29" s="30"/>
      <c r="E29" s="30"/>
      <c r="F29" s="21"/>
      <c r="G29" s="30"/>
      <c r="H29" s="30"/>
      <c r="I29" s="98"/>
    </row>
    <row r="30" spans="1:12">
      <c r="A30" s="97"/>
      <c r="B30" s="30"/>
      <c r="C30" s="30"/>
      <c r="D30" s="30"/>
      <c r="E30" s="30"/>
      <c r="F30" s="30"/>
      <c r="G30" s="30"/>
      <c r="H30" s="30"/>
      <c r="I30" s="98"/>
    </row>
    <row r="31" spans="1:12">
      <c r="A31" s="23"/>
      <c r="I31" s="5"/>
    </row>
    <row r="32" spans="1:12">
      <c r="A32" s="23"/>
      <c r="I32" s="5"/>
    </row>
    <row r="33" spans="1:9">
      <c r="A33" s="23"/>
      <c r="I33" s="5"/>
    </row>
    <row r="34" spans="1:9">
      <c r="A34" s="23"/>
      <c r="I34" s="5"/>
    </row>
    <row r="35" spans="1:9">
      <c r="A35" s="23"/>
      <c r="I35" s="5"/>
    </row>
    <row r="36" spans="1:9">
      <c r="A36" s="23"/>
      <c r="I36" s="5"/>
    </row>
    <row r="37" spans="1:9">
      <c r="A37" s="23"/>
      <c r="I37" s="5"/>
    </row>
    <row r="38" spans="1:9">
      <c r="A38" s="23"/>
      <c r="I38" s="5"/>
    </row>
    <row r="39" spans="1:9" ht="15.75" thickBot="1">
      <c r="A39" s="23"/>
      <c r="I39" s="5"/>
    </row>
    <row r="40" spans="1:9">
      <c r="A40" s="23"/>
      <c r="C40" s="114" t="str">
        <f>general!W2</f>
        <v>NIEDRIGSTURZ BESCHLAG (LL-DT)</v>
      </c>
      <c r="D40" s="115"/>
      <c r="E40" s="115"/>
      <c r="F40" s="115"/>
      <c r="G40" s="115"/>
      <c r="H40" s="115"/>
      <c r="I40" s="116"/>
    </row>
    <row r="41" spans="1:9" ht="15.75" thickBot="1">
      <c r="A41" s="23"/>
      <c r="C41" s="117"/>
      <c r="D41" s="118"/>
      <c r="E41" s="118"/>
      <c r="F41" s="118"/>
      <c r="G41" s="118"/>
      <c r="H41" s="118"/>
      <c r="I41" s="119"/>
    </row>
    <row r="42" spans="1:9" ht="15.75" thickBot="1">
      <c r="A42" s="23"/>
      <c r="C42" s="184" t="str">
        <f>general!AG101</f>
        <v>Bedienung</v>
      </c>
      <c r="D42" s="185"/>
      <c r="E42" s="114" t="str">
        <f>general!AG108</f>
        <v>Antrieb - links</v>
      </c>
      <c r="F42" s="115"/>
      <c r="G42" s="116"/>
      <c r="H42" s="190"/>
      <c r="I42" s="190"/>
    </row>
    <row r="43" spans="1:9" ht="15.75" thickBot="1">
      <c r="A43" s="23"/>
      <c r="C43" s="186"/>
      <c r="D43" s="187"/>
      <c r="E43" s="117"/>
      <c r="F43" s="118"/>
      <c r="G43" s="119"/>
      <c r="H43" s="190"/>
      <c r="I43" s="190"/>
    </row>
    <row r="44" spans="1:9" ht="15.75" thickBot="1">
      <c r="A44" s="23"/>
      <c r="C44" s="184" t="str">
        <f>general!$R$61</f>
        <v>Aufgestellt:</v>
      </c>
      <c r="D44" s="185"/>
      <c r="E44" s="191"/>
      <c r="F44" s="191"/>
      <c r="G44" s="191"/>
      <c r="H44" s="190"/>
      <c r="I44" s="190"/>
    </row>
    <row r="45" spans="1:9" ht="15.75" thickBot="1">
      <c r="A45" s="23"/>
      <c r="C45" s="186"/>
      <c r="D45" s="187"/>
      <c r="E45" s="191"/>
      <c r="F45" s="191"/>
      <c r="G45" s="191"/>
      <c r="H45" s="190"/>
      <c r="I45" s="190"/>
    </row>
    <row r="46" spans="1:9" ht="15.75" thickBot="1">
      <c r="A46" s="23"/>
      <c r="C46" s="184" t="str">
        <f>general!$T$61</f>
        <v>Bereinigt:</v>
      </c>
      <c r="D46" s="185"/>
      <c r="E46" s="191"/>
      <c r="F46" s="191"/>
      <c r="G46" s="191"/>
      <c r="H46" s="190"/>
      <c r="I46" s="190"/>
    </row>
    <row r="47" spans="1:9" ht="15.75" thickBot="1">
      <c r="A47" s="23"/>
      <c r="C47" s="186"/>
      <c r="D47" s="187"/>
      <c r="E47" s="191"/>
      <c r="F47" s="191"/>
      <c r="G47" s="191"/>
      <c r="H47" s="190"/>
      <c r="I47" s="190"/>
    </row>
    <row r="48" spans="1:9" ht="15.75" thickBot="1">
      <c r="A48" s="23"/>
      <c r="C48" s="184" t="str">
        <f>general!$Z$61</f>
        <v>Datum:</v>
      </c>
      <c r="D48" s="185"/>
      <c r="E48" s="188"/>
      <c r="F48" s="188"/>
      <c r="G48" s="188"/>
      <c r="H48" s="190"/>
      <c r="I48" s="190"/>
    </row>
    <row r="49" spans="1:9" ht="15.75" thickBot="1">
      <c r="A49" s="87"/>
      <c r="B49" s="1"/>
      <c r="C49" s="186"/>
      <c r="D49" s="187"/>
      <c r="E49" s="188"/>
      <c r="F49" s="188"/>
      <c r="G49" s="188"/>
      <c r="H49" s="190"/>
      <c r="I49" s="190"/>
    </row>
  </sheetData>
  <sheetProtection algorithmName="SHA-512" hashValue="CwEMN4cRlGKNTlDaLlMWQhTHrc6xKxN5XFSN9XxwnyVyoWeXFKJP7tsn0I0XNechfCpi2nRotQO3uwb7H00BJQ==" saltValue="0HX7WIp2Ju6WTec9T1B1WQ==" spinCount="100000" sheet="1" selectLockedCells="1"/>
  <mergeCells count="12">
    <mergeCell ref="C48:D49"/>
    <mergeCell ref="E48:G49"/>
    <mergeCell ref="A5:A7"/>
    <mergeCell ref="A15:A18"/>
    <mergeCell ref="C40:I41"/>
    <mergeCell ref="C42:D43"/>
    <mergeCell ref="E42:G43"/>
    <mergeCell ref="H42:I49"/>
    <mergeCell ref="C44:D45"/>
    <mergeCell ref="E44:G45"/>
    <mergeCell ref="C46:D47"/>
    <mergeCell ref="E46:G4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8C518-48CB-4C6C-AB1A-BD8E4250FD99}">
  <sheetPr codeName="List4"/>
  <dimension ref="A1:L49"/>
  <sheetViews>
    <sheetView showGridLines="0" view="pageBreakPreview" topLeftCell="A19" zoomScaleNormal="100" zoomScaleSheetLayoutView="100" workbookViewId="0">
      <selection activeCell="E46" sqref="E46:G47"/>
    </sheetView>
  </sheetViews>
  <sheetFormatPr baseColWidth="10" defaultColWidth="9.140625" defaultRowHeight="15"/>
  <sheetData>
    <row r="1" spans="1:9">
      <c r="A1" s="2"/>
      <c r="B1" s="6"/>
      <c r="C1" s="6"/>
      <c r="D1" s="6"/>
      <c r="E1" s="6"/>
      <c r="F1" s="6"/>
      <c r="G1" s="6"/>
      <c r="H1" s="6"/>
      <c r="I1" s="99"/>
    </row>
    <row r="2" spans="1:9">
      <c r="A2" s="97"/>
      <c r="B2" s="30"/>
      <c r="C2" s="30"/>
      <c r="D2" s="30"/>
      <c r="E2" s="30"/>
      <c r="F2" s="30"/>
      <c r="G2" s="30"/>
      <c r="H2" s="30"/>
      <c r="I2" s="98"/>
    </row>
    <row r="3" spans="1:9">
      <c r="A3" s="97"/>
      <c r="B3" s="30"/>
      <c r="C3" s="21"/>
      <c r="D3" s="30"/>
      <c r="E3" s="30"/>
      <c r="F3" s="30"/>
      <c r="G3" s="30"/>
      <c r="H3" s="30"/>
      <c r="I3" s="98"/>
    </row>
    <row r="4" spans="1:9">
      <c r="A4" s="97"/>
      <c r="B4" s="20"/>
      <c r="C4" s="30"/>
      <c r="D4" s="30"/>
      <c r="E4" s="30"/>
      <c r="F4" s="30"/>
      <c r="G4" s="30"/>
      <c r="H4" s="30"/>
      <c r="I4" s="98"/>
    </row>
    <row r="5" spans="1:9">
      <c r="A5" s="151">
        <f>general!P58</f>
        <v>200</v>
      </c>
      <c r="B5" s="30"/>
      <c r="C5" s="30"/>
      <c r="D5" s="30"/>
      <c r="E5" s="30"/>
      <c r="F5" s="30"/>
      <c r="G5" s="30"/>
      <c r="H5" s="30"/>
      <c r="I5" s="98"/>
    </row>
    <row r="6" spans="1:9">
      <c r="A6" s="151"/>
      <c r="B6" s="30"/>
      <c r="C6" s="30"/>
      <c r="D6" s="30"/>
      <c r="E6" s="30"/>
      <c r="F6" s="30"/>
      <c r="G6" s="30"/>
      <c r="H6" s="30"/>
      <c r="I6" s="98"/>
    </row>
    <row r="7" spans="1:9">
      <c r="A7" s="151"/>
      <c r="B7" s="30"/>
      <c r="C7" s="30"/>
      <c r="D7" s="30"/>
      <c r="E7" s="30"/>
      <c r="F7" s="30"/>
      <c r="G7" s="30"/>
      <c r="H7" s="30"/>
      <c r="I7" s="98"/>
    </row>
    <row r="8" spans="1:9">
      <c r="A8" s="50"/>
      <c r="B8" s="30"/>
      <c r="C8" s="30"/>
      <c r="D8" s="30"/>
      <c r="E8" s="30"/>
      <c r="F8" s="30"/>
      <c r="G8" s="30"/>
      <c r="H8" s="30"/>
      <c r="I8" s="98"/>
    </row>
    <row r="9" spans="1:9">
      <c r="A9" s="50"/>
      <c r="B9" s="30"/>
      <c r="C9" s="30"/>
      <c r="D9" s="30"/>
      <c r="E9" s="30"/>
      <c r="F9" s="30"/>
      <c r="G9" s="30"/>
      <c r="H9" s="30"/>
      <c r="I9" s="98"/>
    </row>
    <row r="10" spans="1:9">
      <c r="A10" s="97"/>
      <c r="B10" s="30"/>
      <c r="C10" s="30"/>
      <c r="D10" s="30"/>
      <c r="E10" s="30"/>
      <c r="F10" s="30"/>
      <c r="G10" s="30"/>
      <c r="H10" s="30"/>
      <c r="I10" s="98"/>
    </row>
    <row r="11" spans="1:9">
      <c r="A11" s="97"/>
      <c r="B11" s="30"/>
      <c r="C11" s="30"/>
      <c r="D11" s="30"/>
      <c r="E11" s="30"/>
      <c r="F11" s="30"/>
      <c r="G11" s="30"/>
      <c r="H11" s="30"/>
      <c r="I11" s="98"/>
    </row>
    <row r="12" spans="1:9">
      <c r="A12" s="97"/>
      <c r="B12" s="30"/>
      <c r="C12" s="30"/>
      <c r="D12" s="30"/>
      <c r="E12" s="30"/>
      <c r="F12" s="30"/>
      <c r="G12" s="30"/>
      <c r="H12" s="30"/>
      <c r="I12" s="98"/>
    </row>
    <row r="13" spans="1:9">
      <c r="A13" s="97"/>
      <c r="B13" s="30"/>
      <c r="C13" s="30"/>
      <c r="D13" s="30"/>
      <c r="E13" s="30"/>
      <c r="F13" s="30"/>
      <c r="G13" s="30"/>
      <c r="H13" s="30"/>
      <c r="I13" s="98"/>
    </row>
    <row r="14" spans="1:9">
      <c r="A14" s="97"/>
      <c r="B14" s="30"/>
      <c r="C14" s="30"/>
      <c r="D14" s="30"/>
      <c r="E14" s="30"/>
      <c r="F14" s="30"/>
      <c r="G14" s="30"/>
      <c r="H14" s="30"/>
      <c r="I14" s="98"/>
    </row>
    <row r="15" spans="1:9">
      <c r="A15" s="189">
        <f>general!K5</f>
        <v>0</v>
      </c>
      <c r="B15" s="30"/>
      <c r="C15" s="30"/>
      <c r="D15" s="30"/>
      <c r="E15" s="30"/>
      <c r="F15" s="30"/>
      <c r="G15" s="30"/>
      <c r="H15" s="30"/>
      <c r="I15" s="98"/>
    </row>
    <row r="16" spans="1:9">
      <c r="A16" s="189"/>
      <c r="B16" s="30"/>
      <c r="C16" s="30"/>
      <c r="D16" s="30"/>
      <c r="E16" s="30"/>
      <c r="F16" s="30"/>
      <c r="G16" s="30"/>
      <c r="H16" s="30"/>
      <c r="I16" s="98"/>
    </row>
    <row r="17" spans="1:12">
      <c r="A17" s="189"/>
      <c r="B17" s="30"/>
      <c r="C17" s="30"/>
      <c r="D17" s="30"/>
      <c r="E17" s="30"/>
      <c r="F17" s="30"/>
      <c r="G17" s="30"/>
      <c r="H17" s="30"/>
      <c r="I17" s="98"/>
    </row>
    <row r="18" spans="1:12">
      <c r="A18" s="189"/>
      <c r="B18" s="30"/>
      <c r="C18" s="30"/>
      <c r="D18" s="30"/>
      <c r="E18" s="30"/>
      <c r="F18" s="30"/>
      <c r="G18" s="30"/>
      <c r="H18" s="30"/>
      <c r="I18" s="98"/>
    </row>
    <row r="19" spans="1:12">
      <c r="A19" s="97"/>
      <c r="B19" s="30"/>
      <c r="C19" s="30"/>
      <c r="D19" s="30"/>
      <c r="E19" s="30"/>
      <c r="F19" s="30"/>
      <c r="G19" s="30"/>
      <c r="H19" s="30"/>
      <c r="I19" s="98"/>
    </row>
    <row r="20" spans="1:12">
      <c r="A20" s="97"/>
      <c r="B20" s="30"/>
      <c r="C20" s="30"/>
      <c r="D20" s="30"/>
      <c r="E20" s="30"/>
      <c r="F20" s="30"/>
      <c r="G20" s="30"/>
      <c r="H20" s="30"/>
      <c r="I20" s="98"/>
    </row>
    <row r="21" spans="1:12">
      <c r="A21" s="97"/>
      <c r="B21" s="30"/>
      <c r="C21" s="30"/>
      <c r="D21" s="30"/>
      <c r="E21" s="30"/>
      <c r="F21" s="30"/>
      <c r="G21" s="30"/>
      <c r="H21" s="30"/>
      <c r="I21" s="98"/>
    </row>
    <row r="22" spans="1:12">
      <c r="A22" s="97"/>
      <c r="B22" s="30"/>
      <c r="C22" s="30"/>
      <c r="D22" s="30"/>
      <c r="E22" s="30"/>
      <c r="F22" s="30"/>
      <c r="G22" s="30"/>
      <c r="H22" s="30"/>
      <c r="I22" s="98"/>
      <c r="L22" s="100"/>
    </row>
    <row r="23" spans="1:12">
      <c r="A23" s="97"/>
      <c r="B23" s="30"/>
      <c r="C23" s="30"/>
      <c r="D23" s="30"/>
      <c r="E23" s="30"/>
      <c r="F23" s="30"/>
      <c r="G23" s="30"/>
      <c r="H23" s="30"/>
      <c r="I23" s="98"/>
    </row>
    <row r="24" spans="1:12">
      <c r="A24" s="97"/>
      <c r="B24" s="30"/>
      <c r="C24" s="30"/>
      <c r="D24" s="30"/>
      <c r="E24" s="30"/>
      <c r="F24" s="30"/>
      <c r="G24" s="30"/>
      <c r="H24" s="30"/>
      <c r="I24" s="98"/>
    </row>
    <row r="25" spans="1:12">
      <c r="A25" s="97"/>
      <c r="B25" s="30"/>
      <c r="C25" s="30"/>
      <c r="D25" s="30"/>
      <c r="E25" s="30"/>
      <c r="F25" s="30"/>
      <c r="G25" s="30"/>
      <c r="H25" s="30"/>
      <c r="I25" s="98"/>
    </row>
    <row r="26" spans="1:12">
      <c r="A26" s="97"/>
      <c r="B26" s="30"/>
      <c r="C26" s="30"/>
      <c r="D26" s="30"/>
      <c r="E26" s="30"/>
      <c r="F26" s="30"/>
      <c r="G26" s="30"/>
      <c r="H26" s="30"/>
      <c r="I26" s="98"/>
    </row>
    <row r="27" spans="1:12">
      <c r="A27" s="97"/>
      <c r="B27" s="30"/>
      <c r="C27" s="30"/>
      <c r="D27" s="21"/>
      <c r="E27" s="30"/>
      <c r="F27" s="30"/>
      <c r="G27" s="21"/>
      <c r="H27" s="30"/>
      <c r="I27" s="98"/>
    </row>
    <row r="28" spans="1:12">
      <c r="A28" s="97"/>
      <c r="B28" s="30"/>
      <c r="C28" s="30"/>
      <c r="D28" s="30"/>
      <c r="E28" s="30"/>
      <c r="F28" s="21">
        <f>general!K3</f>
        <v>0</v>
      </c>
      <c r="G28" s="30"/>
      <c r="H28" s="30"/>
      <c r="I28" s="98"/>
    </row>
    <row r="29" spans="1:12">
      <c r="A29" s="97"/>
      <c r="B29" s="30"/>
      <c r="C29" s="30"/>
      <c r="D29" s="30"/>
      <c r="E29" s="30"/>
      <c r="F29" s="21"/>
      <c r="G29" s="30"/>
      <c r="H29" s="30"/>
      <c r="I29" s="98"/>
    </row>
    <row r="30" spans="1:12">
      <c r="A30" s="97"/>
      <c r="B30" s="30"/>
      <c r="C30" s="30"/>
      <c r="D30" s="30"/>
      <c r="E30" s="30"/>
      <c r="F30" s="30"/>
      <c r="G30" s="30"/>
      <c r="H30" s="30"/>
      <c r="I30" s="98"/>
    </row>
    <row r="31" spans="1:12">
      <c r="A31" s="23"/>
      <c r="I31" s="5"/>
    </row>
    <row r="32" spans="1:12">
      <c r="A32" s="23"/>
      <c r="I32" s="5"/>
    </row>
    <row r="33" spans="1:9">
      <c r="A33" s="23"/>
      <c r="I33" s="5"/>
    </row>
    <row r="34" spans="1:9">
      <c r="A34" s="23"/>
      <c r="I34" s="5"/>
    </row>
    <row r="35" spans="1:9">
      <c r="A35" s="23"/>
      <c r="I35" s="5"/>
    </row>
    <row r="36" spans="1:9">
      <c r="A36" s="23"/>
      <c r="I36" s="5"/>
    </row>
    <row r="37" spans="1:9">
      <c r="A37" s="23"/>
      <c r="I37" s="5"/>
    </row>
    <row r="38" spans="1:9">
      <c r="A38" s="23"/>
      <c r="I38" s="5"/>
    </row>
    <row r="39" spans="1:9" ht="15.75" thickBot="1">
      <c r="A39" s="23"/>
      <c r="I39" s="5"/>
    </row>
    <row r="40" spans="1:9">
      <c r="A40" s="23"/>
      <c r="C40" s="114" t="str">
        <f>general!W2</f>
        <v>NIEDRIGSTURZ BESCHLAG (LL-DT)</v>
      </c>
      <c r="D40" s="115"/>
      <c r="E40" s="115"/>
      <c r="F40" s="115"/>
      <c r="G40" s="115"/>
      <c r="H40" s="115"/>
      <c r="I40" s="116"/>
    </row>
    <row r="41" spans="1:9" ht="15.75" thickBot="1">
      <c r="A41" s="23"/>
      <c r="C41" s="117"/>
      <c r="D41" s="118"/>
      <c r="E41" s="118"/>
      <c r="F41" s="118"/>
      <c r="G41" s="118"/>
      <c r="H41" s="118"/>
      <c r="I41" s="119"/>
    </row>
    <row r="42" spans="1:9" ht="15.75" thickBot="1">
      <c r="A42" s="23"/>
      <c r="C42" s="184" t="str">
        <f>general!AG101</f>
        <v>Bedienung</v>
      </c>
      <c r="D42" s="185"/>
      <c r="E42" s="114" t="str">
        <f>general!AG102</f>
        <v>hand</v>
      </c>
      <c r="F42" s="115"/>
      <c r="G42" s="116"/>
      <c r="H42" s="190"/>
      <c r="I42" s="190"/>
    </row>
    <row r="43" spans="1:9" ht="15.75" thickBot="1">
      <c r="A43" s="23"/>
      <c r="C43" s="186"/>
      <c r="D43" s="187"/>
      <c r="E43" s="117"/>
      <c r="F43" s="118"/>
      <c r="G43" s="119"/>
      <c r="H43" s="190"/>
      <c r="I43" s="190"/>
    </row>
    <row r="44" spans="1:9" ht="15.75" thickBot="1">
      <c r="A44" s="23"/>
      <c r="C44" s="184" t="str">
        <f>general!$R$61</f>
        <v>Aufgestellt:</v>
      </c>
      <c r="D44" s="185"/>
      <c r="E44" s="191"/>
      <c r="F44" s="191"/>
      <c r="G44" s="191"/>
      <c r="H44" s="190"/>
      <c r="I44" s="190"/>
    </row>
    <row r="45" spans="1:9" ht="15.75" thickBot="1">
      <c r="A45" s="23"/>
      <c r="C45" s="186"/>
      <c r="D45" s="187"/>
      <c r="E45" s="191"/>
      <c r="F45" s="191"/>
      <c r="G45" s="191"/>
      <c r="H45" s="190"/>
      <c r="I45" s="190"/>
    </row>
    <row r="46" spans="1:9" ht="15.75" thickBot="1">
      <c r="A46" s="23"/>
      <c r="C46" s="184" t="str">
        <f>general!$T$61</f>
        <v>Bereinigt:</v>
      </c>
      <c r="D46" s="185"/>
      <c r="E46" s="191"/>
      <c r="F46" s="191"/>
      <c r="G46" s="191"/>
      <c r="H46" s="190"/>
      <c r="I46" s="190"/>
    </row>
    <row r="47" spans="1:9" ht="15.75" thickBot="1">
      <c r="A47" s="23"/>
      <c r="C47" s="186"/>
      <c r="D47" s="187"/>
      <c r="E47" s="191"/>
      <c r="F47" s="191"/>
      <c r="G47" s="191"/>
      <c r="H47" s="190"/>
      <c r="I47" s="190"/>
    </row>
    <row r="48" spans="1:9" ht="15.75" thickBot="1">
      <c r="A48" s="23"/>
      <c r="C48" s="184" t="str">
        <f>general!$Z$61</f>
        <v>Datum:</v>
      </c>
      <c r="D48" s="185"/>
      <c r="E48" s="188"/>
      <c r="F48" s="188"/>
      <c r="G48" s="188"/>
      <c r="H48" s="190"/>
      <c r="I48" s="190"/>
    </row>
    <row r="49" spans="1:9" ht="15.75" thickBot="1">
      <c r="A49" s="87"/>
      <c r="B49" s="1"/>
      <c r="C49" s="186"/>
      <c r="D49" s="187"/>
      <c r="E49" s="188"/>
      <c r="F49" s="188"/>
      <c r="G49" s="188"/>
      <c r="H49" s="190"/>
      <c r="I49" s="190"/>
    </row>
  </sheetData>
  <sheetProtection algorithmName="SHA-512" hashValue="kbCRpDjVT9J0dTiN5ZitkAMbGR+n+ZmwBP4DYqZfq7bsijPPKW+wLe2YbbJ9c0vdDQHfj/MsxzKqGVdWgWsf4A==" saltValue="Jxi3nqBWRF2KVXFMRFNUjA==" spinCount="100000" sheet="1" selectLockedCells="1"/>
  <mergeCells count="12">
    <mergeCell ref="C48:D49"/>
    <mergeCell ref="E48:G49"/>
    <mergeCell ref="A5:A7"/>
    <mergeCell ref="A15:A18"/>
    <mergeCell ref="C40:I41"/>
    <mergeCell ref="C42:D43"/>
    <mergeCell ref="E42:G43"/>
    <mergeCell ref="H42:I49"/>
    <mergeCell ref="C44:D45"/>
    <mergeCell ref="E44:G45"/>
    <mergeCell ref="C46:D47"/>
    <mergeCell ref="E46:G4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4595D-3669-42E2-B287-BD768A632541}">
  <sheetPr codeName="List5"/>
  <dimension ref="D6:AE152"/>
  <sheetViews>
    <sheetView topLeftCell="C123" zoomScaleNormal="100" workbookViewId="0">
      <selection activeCell="V147" sqref="V147"/>
    </sheetView>
  </sheetViews>
  <sheetFormatPr baseColWidth="10" defaultColWidth="9.140625" defaultRowHeight="15"/>
  <cols>
    <col min="11" max="11" width="14.7109375" customWidth="1"/>
    <col min="21" max="21" width="11" customWidth="1"/>
    <col min="22" max="22" width="18.5703125" bestFit="1" customWidth="1"/>
    <col min="24" max="24" width="2.42578125" customWidth="1"/>
    <col min="25" max="25" width="15.5703125" customWidth="1"/>
    <col min="26" max="26" width="14.85546875" customWidth="1"/>
  </cols>
  <sheetData>
    <row r="6" spans="14:31">
      <c r="Y6" s="194" t="s">
        <v>844</v>
      </c>
      <c r="Z6" s="195"/>
      <c r="AA6" s="195"/>
      <c r="AB6" s="195"/>
      <c r="AC6" s="195"/>
      <c r="AD6" s="195"/>
      <c r="AE6" s="196"/>
    </row>
    <row r="7" spans="14:31">
      <c r="Y7" s="197"/>
      <c r="Z7" s="198"/>
      <c r="AA7" s="198"/>
      <c r="AB7" s="198"/>
      <c r="AC7" s="198"/>
      <c r="AD7" s="198"/>
      <c r="AE7" s="199"/>
    </row>
    <row r="8" spans="14:31">
      <c r="Y8" s="197"/>
      <c r="Z8" s="198"/>
      <c r="AA8" s="198"/>
      <c r="AB8" s="198"/>
      <c r="AC8" s="198"/>
      <c r="AD8" s="198"/>
      <c r="AE8" s="199"/>
    </row>
    <row r="9" spans="14:31">
      <c r="Y9" s="101"/>
      <c r="AE9" s="102"/>
    </row>
    <row r="10" spans="14:31">
      <c r="Y10" s="101" t="s">
        <v>845</v>
      </c>
      <c r="Z10">
        <v>125</v>
      </c>
      <c r="AE10" s="102"/>
    </row>
    <row r="11" spans="14:31">
      <c r="Y11" s="101" t="s">
        <v>846</v>
      </c>
      <c r="Z11">
        <v>375</v>
      </c>
      <c r="AE11" s="102"/>
    </row>
    <row r="12" spans="14:31">
      <c r="Y12" s="101" t="s">
        <v>847</v>
      </c>
      <c r="Z12">
        <v>4500</v>
      </c>
      <c r="AE12" s="102"/>
    </row>
    <row r="13" spans="14:31">
      <c r="Y13" s="101" t="s">
        <v>848</v>
      </c>
      <c r="Z13" t="str">
        <f>IF(OR(general!K3="",general!K7=""),"L + W + R ", Y13 &amp; Z10+Z11+Z12)</f>
        <v xml:space="preserve">L + W + R </v>
      </c>
      <c r="AE13" s="102"/>
    </row>
    <row r="14" spans="14:31">
      <c r="Y14" s="101" t="s">
        <v>849</v>
      </c>
      <c r="Z14" t="s">
        <v>850</v>
      </c>
      <c r="AE14" s="102"/>
    </row>
    <row r="15" spans="14:31">
      <c r="Y15" s="101"/>
      <c r="AE15" s="102"/>
    </row>
    <row r="16" spans="14:31">
      <c r="N16" s="31"/>
      <c r="O16" s="31"/>
      <c r="P16" s="31"/>
      <c r="Q16" s="31"/>
      <c r="R16" s="31"/>
      <c r="S16" s="31"/>
      <c r="T16" s="31"/>
      <c r="U16" s="31"/>
      <c r="Y16" s="103" t="s">
        <v>851</v>
      </c>
      <c r="Z16" t="str">
        <f>IF(general!K7="","",IF(general!K7=general!AG102,160,IF(OR(general!K7=general!AG105,general!K7=general!AG108),400,160)))</f>
        <v/>
      </c>
      <c r="AE16" s="102"/>
    </row>
    <row r="17" spans="4:31">
      <c r="N17" s="31"/>
      <c r="O17" s="31"/>
      <c r="P17" s="31"/>
      <c r="Q17" s="31"/>
      <c r="R17" s="31"/>
      <c r="S17" s="31"/>
      <c r="T17" s="31"/>
      <c r="U17" s="31"/>
      <c r="Y17" s="104" t="s">
        <v>852</v>
      </c>
      <c r="Z17" t="str">
        <f>IF(general!K7="","",IF(general!K7=general!AG102,160,IF(OR(general!K7=general!AG106,general!K7=general!AG109),400,160)))</f>
        <v/>
      </c>
      <c r="AE17" s="102"/>
    </row>
    <row r="18" spans="4:31">
      <c r="N18" s="31"/>
      <c r="O18" s="31"/>
      <c r="P18" s="31"/>
      <c r="Q18" s="31"/>
      <c r="R18" s="31"/>
      <c r="S18" s="31"/>
      <c r="T18" s="31"/>
      <c r="U18" s="31"/>
      <c r="Y18" s="105" t="s">
        <v>853</v>
      </c>
      <c r="Z18">
        <f>IF(general!$K$9=general!$AG$122,290,250)</f>
        <v>250</v>
      </c>
      <c r="AE18" s="102"/>
    </row>
    <row r="19" spans="4:31">
      <c r="Y19" s="101"/>
      <c r="AE19" s="102"/>
    </row>
    <row r="20" spans="4:31" ht="15" customHeight="1">
      <c r="D20" s="192" t="str">
        <f>general!AG109</f>
        <v>Antrieb - rechts</v>
      </c>
      <c r="E20" s="193"/>
      <c r="F20" s="193"/>
      <c r="G20" s="193"/>
      <c r="H20" s="193"/>
      <c r="I20" s="193"/>
      <c r="J20" s="193"/>
      <c r="K20" s="193"/>
      <c r="Y20" s="106"/>
      <c r="Z20" s="107"/>
      <c r="AE20" s="102"/>
    </row>
    <row r="21" spans="4:31">
      <c r="D21" s="192"/>
      <c r="E21" s="193"/>
      <c r="F21" s="193"/>
      <c r="G21" s="193"/>
      <c r="H21" s="193"/>
      <c r="I21" s="193"/>
      <c r="J21" s="193"/>
      <c r="K21" s="193"/>
      <c r="Y21" s="108"/>
      <c r="Z21" s="109"/>
      <c r="AA21" s="109"/>
      <c r="AB21" s="109"/>
      <c r="AC21" s="109"/>
      <c r="AD21" s="109"/>
      <c r="AE21" s="110"/>
    </row>
    <row r="22" spans="4:31">
      <c r="D22" s="192"/>
      <c r="E22" s="193"/>
      <c r="F22" s="193"/>
      <c r="G22" s="193"/>
      <c r="H22" s="193"/>
      <c r="I22" s="193"/>
      <c r="J22" s="193"/>
      <c r="K22" s="193"/>
      <c r="Z22" t="str">
        <f>IF(AND(P62&gt;=3000,P62&lt;4500),IF(OR(K3="",K5="",P56=""),"","= " &amp;ROUND(L64/2,0)),"")</f>
        <v/>
      </c>
    </row>
    <row r="23" spans="4:31">
      <c r="D23" s="192"/>
      <c r="E23" s="193"/>
      <c r="F23" s="193"/>
      <c r="G23" s="193"/>
      <c r="H23" s="193"/>
      <c r="I23" s="193"/>
      <c r="J23" s="193"/>
      <c r="K23" s="193"/>
      <c r="X23" s="111"/>
    </row>
    <row r="24" spans="4:31">
      <c r="D24" s="192"/>
      <c r="E24" s="193"/>
      <c r="F24" s="193"/>
      <c r="G24" s="193"/>
      <c r="H24" s="193"/>
      <c r="I24" s="193"/>
      <c r="J24" s="193"/>
      <c r="K24" s="193"/>
    </row>
    <row r="25" spans="4:31">
      <c r="D25" s="192"/>
      <c r="E25" s="193"/>
      <c r="F25" s="193"/>
      <c r="G25" s="193"/>
      <c r="H25" s="193"/>
      <c r="I25" s="193"/>
      <c r="J25" s="193"/>
      <c r="K25" s="193"/>
    </row>
    <row r="26" spans="4:31">
      <c r="D26" s="192"/>
      <c r="E26" s="193"/>
      <c r="F26" s="193"/>
      <c r="G26" s="193"/>
      <c r="H26" s="193"/>
      <c r="I26" s="193"/>
      <c r="J26" s="193"/>
      <c r="K26" s="193"/>
    </row>
    <row r="27" spans="4:31">
      <c r="D27" s="192"/>
      <c r="E27" s="193"/>
      <c r="F27" s="193"/>
      <c r="G27" s="193"/>
      <c r="H27" s="193"/>
      <c r="I27" s="193"/>
      <c r="J27" s="193"/>
      <c r="K27" s="193"/>
    </row>
    <row r="28" spans="4:31">
      <c r="D28" s="192"/>
      <c r="E28" s="193"/>
      <c r="F28" s="193"/>
      <c r="G28" s="193"/>
      <c r="H28" s="193"/>
      <c r="I28" s="193"/>
      <c r="J28" s="193"/>
      <c r="K28" s="193"/>
      <c r="L28" s="112"/>
    </row>
    <row r="29" spans="4:31">
      <c r="D29" s="192"/>
      <c r="E29" s="193"/>
      <c r="F29" s="193"/>
      <c r="G29" s="193"/>
      <c r="H29" s="193"/>
      <c r="I29" s="193"/>
      <c r="J29" s="193"/>
      <c r="K29" s="193"/>
    </row>
    <row r="30" spans="4:31">
      <c r="D30" s="192"/>
      <c r="E30" s="193"/>
      <c r="F30" s="193"/>
      <c r="G30" s="193"/>
      <c r="H30" s="193"/>
      <c r="I30" s="193"/>
      <c r="J30" s="193"/>
      <c r="K30" s="193"/>
    </row>
    <row r="31" spans="4:31">
      <c r="D31" s="192"/>
      <c r="E31" s="193"/>
      <c r="F31" s="193"/>
      <c r="G31" s="193"/>
      <c r="H31" s="193"/>
      <c r="I31" s="193"/>
      <c r="J31" s="193"/>
      <c r="K31" s="193"/>
    </row>
    <row r="32" spans="4:31">
      <c r="D32" s="192"/>
      <c r="E32" s="193"/>
      <c r="F32" s="193"/>
      <c r="G32" s="193"/>
      <c r="H32" s="193"/>
      <c r="I32" s="193"/>
      <c r="J32" s="193"/>
      <c r="K32" s="193"/>
    </row>
    <row r="33" spans="4:11">
      <c r="D33" s="192"/>
      <c r="E33" s="193"/>
      <c r="F33" s="193"/>
      <c r="G33" s="193"/>
      <c r="H33" s="193"/>
      <c r="I33" s="193"/>
      <c r="J33" s="193"/>
      <c r="K33" s="193"/>
    </row>
    <row r="34" spans="4:11">
      <c r="D34" s="192"/>
      <c r="E34" s="193"/>
      <c r="F34" s="193"/>
      <c r="G34" s="193"/>
      <c r="H34" s="193"/>
      <c r="I34" s="193"/>
      <c r="J34" s="193"/>
      <c r="K34" s="193"/>
    </row>
    <row r="35" spans="4:11">
      <c r="D35" s="192"/>
      <c r="E35" s="193"/>
      <c r="F35" s="193"/>
      <c r="G35" s="193"/>
      <c r="H35" s="193"/>
      <c r="I35" s="193"/>
      <c r="J35" s="193"/>
      <c r="K35" s="193"/>
    </row>
    <row r="36" spans="4:11">
      <c r="D36" s="192"/>
      <c r="E36" s="193"/>
      <c r="F36" s="193"/>
      <c r="G36" s="193"/>
      <c r="H36" s="193"/>
      <c r="I36" s="193"/>
      <c r="J36" s="193"/>
      <c r="K36" s="193"/>
    </row>
    <row r="37" spans="4:11">
      <c r="D37" s="192"/>
      <c r="E37" s="193"/>
      <c r="F37" s="193"/>
      <c r="G37" s="193"/>
      <c r="H37" s="193"/>
      <c r="I37" s="193"/>
      <c r="J37" s="193"/>
      <c r="K37" s="193"/>
    </row>
    <row r="38" spans="4:11">
      <c r="D38" s="192"/>
      <c r="E38" s="193"/>
      <c r="F38" s="193"/>
      <c r="G38" s="193"/>
      <c r="H38" s="193"/>
      <c r="I38" s="193"/>
      <c r="J38" s="193"/>
      <c r="K38" s="193"/>
    </row>
    <row r="39" spans="4:11">
      <c r="D39" s="192"/>
      <c r="E39" s="193"/>
      <c r="F39" s="193"/>
      <c r="G39" s="193"/>
      <c r="H39" s="193"/>
      <c r="I39" s="193"/>
      <c r="J39" s="193"/>
      <c r="K39" s="193"/>
    </row>
    <row r="40" spans="4:11">
      <c r="D40" s="192"/>
      <c r="E40" s="193"/>
      <c r="F40" s="193"/>
      <c r="G40" s="193"/>
      <c r="H40" s="193"/>
      <c r="I40" s="193"/>
      <c r="J40" s="193"/>
      <c r="K40" s="193"/>
    </row>
    <row r="41" spans="4:11">
      <c r="D41" s="192"/>
      <c r="E41" s="193"/>
      <c r="F41" s="193"/>
      <c r="G41" s="193"/>
      <c r="H41" s="193"/>
      <c r="I41" s="193"/>
      <c r="J41" s="193"/>
      <c r="K41" s="193"/>
    </row>
    <row r="42" spans="4:11">
      <c r="D42" s="192"/>
      <c r="E42" s="193"/>
      <c r="F42" s="193"/>
      <c r="G42" s="193"/>
      <c r="H42" s="193"/>
      <c r="I42" s="193"/>
      <c r="J42" s="193"/>
      <c r="K42" s="193"/>
    </row>
    <row r="43" spans="4:11">
      <c r="D43" s="192"/>
      <c r="E43" s="193"/>
      <c r="F43" s="193"/>
      <c r="G43" s="193"/>
      <c r="H43" s="193"/>
      <c r="I43" s="193"/>
      <c r="J43" s="193"/>
      <c r="K43" s="193"/>
    </row>
    <row r="44" spans="4:11">
      <c r="D44" s="192"/>
      <c r="E44" s="193"/>
      <c r="F44" s="193"/>
      <c r="G44" s="193"/>
      <c r="H44" s="193"/>
      <c r="I44" s="193"/>
      <c r="J44" s="193"/>
      <c r="K44" s="193"/>
    </row>
    <row r="45" spans="4:11">
      <c r="D45" s="113"/>
    </row>
    <row r="46" spans="4:11">
      <c r="D46" s="113"/>
    </row>
    <row r="47" spans="4:11" ht="15" customHeight="1">
      <c r="D47" s="192" t="str">
        <f>general!AG108</f>
        <v>Antrieb - links</v>
      </c>
      <c r="E47" s="193"/>
      <c r="F47" s="193"/>
      <c r="G47" s="193"/>
      <c r="H47" s="193"/>
      <c r="I47" s="193"/>
      <c r="J47" s="193"/>
      <c r="K47" s="193"/>
    </row>
    <row r="48" spans="4:11">
      <c r="D48" s="192"/>
      <c r="E48" s="193"/>
      <c r="F48" s="193"/>
      <c r="G48" s="193"/>
      <c r="H48" s="193"/>
      <c r="I48" s="193"/>
      <c r="J48" s="193"/>
      <c r="K48" s="193"/>
    </row>
    <row r="49" spans="4:11">
      <c r="D49" s="192"/>
      <c r="E49" s="193"/>
      <c r="F49" s="193"/>
      <c r="G49" s="193"/>
      <c r="H49" s="193"/>
      <c r="I49" s="193"/>
      <c r="J49" s="193"/>
      <c r="K49" s="193"/>
    </row>
    <row r="50" spans="4:11">
      <c r="D50" s="192"/>
      <c r="E50" s="193"/>
      <c r="F50" s="193"/>
      <c r="G50" s="193"/>
      <c r="H50" s="193"/>
      <c r="I50" s="193"/>
      <c r="J50" s="193"/>
      <c r="K50" s="193"/>
    </row>
    <row r="51" spans="4:11">
      <c r="D51" s="192"/>
      <c r="E51" s="193"/>
      <c r="F51" s="193"/>
      <c r="G51" s="193"/>
      <c r="H51" s="193"/>
      <c r="I51" s="193"/>
      <c r="J51" s="193"/>
      <c r="K51" s="193"/>
    </row>
    <row r="52" spans="4:11">
      <c r="D52" s="192"/>
      <c r="E52" s="193"/>
      <c r="F52" s="193"/>
      <c r="G52" s="193"/>
      <c r="H52" s="193"/>
      <c r="I52" s="193"/>
      <c r="J52" s="193"/>
      <c r="K52" s="193"/>
    </row>
    <row r="53" spans="4:11">
      <c r="D53" s="192"/>
      <c r="E53" s="193"/>
      <c r="F53" s="193"/>
      <c r="G53" s="193"/>
      <c r="H53" s="193"/>
      <c r="I53" s="193"/>
      <c r="J53" s="193"/>
      <c r="K53" s="193"/>
    </row>
    <row r="54" spans="4:11">
      <c r="D54" s="192"/>
      <c r="E54" s="193"/>
      <c r="F54" s="193"/>
      <c r="G54" s="193"/>
      <c r="H54" s="193"/>
      <c r="I54" s="193"/>
      <c r="J54" s="193"/>
      <c r="K54" s="193"/>
    </row>
    <row r="55" spans="4:11">
      <c r="D55" s="192"/>
      <c r="E55" s="193"/>
      <c r="F55" s="193"/>
      <c r="G55" s="193"/>
      <c r="H55" s="193"/>
      <c r="I55" s="193"/>
      <c r="J55" s="193"/>
      <c r="K55" s="193"/>
    </row>
    <row r="56" spans="4:11">
      <c r="D56" s="192"/>
      <c r="E56" s="193"/>
      <c r="F56" s="193"/>
      <c r="G56" s="193"/>
      <c r="H56" s="193"/>
      <c r="I56" s="193"/>
      <c r="J56" s="193"/>
      <c r="K56" s="193"/>
    </row>
    <row r="57" spans="4:11">
      <c r="D57" s="192"/>
      <c r="E57" s="193"/>
      <c r="F57" s="193"/>
      <c r="G57" s="193"/>
      <c r="H57" s="193"/>
      <c r="I57" s="193"/>
      <c r="J57" s="193"/>
      <c r="K57" s="193"/>
    </row>
    <row r="58" spans="4:11">
      <c r="D58" s="192"/>
      <c r="E58" s="193"/>
      <c r="F58" s="193"/>
      <c r="G58" s="193"/>
      <c r="H58" s="193"/>
      <c r="I58" s="193"/>
      <c r="J58" s="193"/>
      <c r="K58" s="193"/>
    </row>
    <row r="59" spans="4:11">
      <c r="D59" s="192"/>
      <c r="E59" s="193"/>
      <c r="F59" s="193"/>
      <c r="G59" s="193"/>
      <c r="H59" s="193"/>
      <c r="I59" s="193"/>
      <c r="J59" s="193"/>
      <c r="K59" s="193"/>
    </row>
    <row r="60" spans="4:11">
      <c r="D60" s="192"/>
      <c r="E60" s="193"/>
      <c r="F60" s="193"/>
      <c r="G60" s="193"/>
      <c r="H60" s="193"/>
      <c r="I60" s="193"/>
      <c r="J60" s="193"/>
      <c r="K60" s="193"/>
    </row>
    <row r="61" spans="4:11">
      <c r="D61" s="192"/>
      <c r="E61" s="193"/>
      <c r="F61" s="193"/>
      <c r="G61" s="193"/>
      <c r="H61" s="193"/>
      <c r="I61" s="193"/>
      <c r="J61" s="193"/>
      <c r="K61" s="193"/>
    </row>
    <row r="62" spans="4:11">
      <c r="D62" s="192"/>
      <c r="E62" s="193"/>
      <c r="F62" s="193"/>
      <c r="G62" s="193"/>
      <c r="H62" s="193"/>
      <c r="I62" s="193"/>
      <c r="J62" s="193"/>
      <c r="K62" s="193"/>
    </row>
    <row r="63" spans="4:11">
      <c r="D63" s="192"/>
      <c r="E63" s="193"/>
      <c r="F63" s="193"/>
      <c r="G63" s="193"/>
      <c r="H63" s="193"/>
      <c r="I63" s="193"/>
      <c r="J63" s="193"/>
      <c r="K63" s="193"/>
    </row>
    <row r="64" spans="4:11">
      <c r="D64" s="192"/>
      <c r="E64" s="193"/>
      <c r="F64" s="193"/>
      <c r="G64" s="193"/>
      <c r="H64" s="193"/>
      <c r="I64" s="193"/>
      <c r="J64" s="193"/>
      <c r="K64" s="193"/>
    </row>
    <row r="65" spans="4:11">
      <c r="D65" s="192"/>
      <c r="E65" s="193"/>
      <c r="F65" s="193"/>
      <c r="G65" s="193"/>
      <c r="H65" s="193"/>
      <c r="I65" s="193"/>
      <c r="J65" s="193"/>
      <c r="K65" s="193"/>
    </row>
    <row r="66" spans="4:11">
      <c r="D66" s="192"/>
      <c r="E66" s="193"/>
      <c r="F66" s="193"/>
      <c r="G66" s="193"/>
      <c r="H66" s="193"/>
      <c r="I66" s="193"/>
      <c r="J66" s="193"/>
      <c r="K66" s="193"/>
    </row>
    <row r="67" spans="4:11">
      <c r="D67" s="192"/>
      <c r="E67" s="193"/>
      <c r="F67" s="193"/>
      <c r="G67" s="193"/>
      <c r="H67" s="193"/>
      <c r="I67" s="193"/>
      <c r="J67" s="193"/>
      <c r="K67" s="193"/>
    </row>
    <row r="68" spans="4:11">
      <c r="D68" s="192"/>
      <c r="E68" s="193"/>
      <c r="F68" s="193"/>
      <c r="G68" s="193"/>
      <c r="H68" s="193"/>
      <c r="I68" s="193"/>
      <c r="J68" s="193"/>
      <c r="K68" s="193"/>
    </row>
    <row r="69" spans="4:11">
      <c r="D69" s="192"/>
      <c r="E69" s="193"/>
      <c r="F69" s="193"/>
      <c r="G69" s="193"/>
      <c r="H69" s="193"/>
      <c r="I69" s="193"/>
      <c r="J69" s="193"/>
      <c r="K69" s="193"/>
    </row>
    <row r="70" spans="4:11">
      <c r="D70" s="192"/>
      <c r="E70" s="193"/>
      <c r="F70" s="193"/>
      <c r="G70" s="193"/>
      <c r="H70" s="193"/>
      <c r="I70" s="193"/>
      <c r="J70" s="193"/>
      <c r="K70" s="193"/>
    </row>
    <row r="71" spans="4:11">
      <c r="D71" s="192"/>
      <c r="E71" s="193"/>
      <c r="F71" s="193"/>
      <c r="G71" s="193"/>
      <c r="H71" s="193"/>
      <c r="I71" s="193"/>
      <c r="J71" s="193"/>
      <c r="K71" s="193"/>
    </row>
    <row r="72" spans="4:11">
      <c r="D72" s="113"/>
    </row>
    <row r="73" spans="4:11">
      <c r="D73" s="113"/>
    </row>
    <row r="74" spans="4:11" ht="15" customHeight="1">
      <c r="D74" s="192" t="str">
        <f>general!AG102</f>
        <v>hand</v>
      </c>
      <c r="E74" s="193"/>
      <c r="F74" s="193"/>
      <c r="G74" s="193"/>
      <c r="H74" s="193"/>
      <c r="I74" s="193"/>
      <c r="J74" s="193"/>
      <c r="K74" s="193"/>
    </row>
    <row r="75" spans="4:11">
      <c r="D75" s="192"/>
      <c r="E75" s="193"/>
      <c r="F75" s="193"/>
      <c r="G75" s="193"/>
      <c r="H75" s="193"/>
      <c r="I75" s="193"/>
      <c r="J75" s="193"/>
      <c r="K75" s="193"/>
    </row>
    <row r="76" spans="4:11">
      <c r="D76" s="192"/>
      <c r="E76" s="193"/>
      <c r="F76" s="193"/>
      <c r="G76" s="193"/>
      <c r="H76" s="193"/>
      <c r="I76" s="193"/>
      <c r="J76" s="193"/>
      <c r="K76" s="193"/>
    </row>
    <row r="77" spans="4:11">
      <c r="D77" s="192"/>
      <c r="E77" s="193"/>
      <c r="F77" s="193"/>
      <c r="G77" s="193"/>
      <c r="H77" s="193"/>
      <c r="I77" s="193"/>
      <c r="J77" s="193"/>
      <c r="K77" s="193"/>
    </row>
    <row r="78" spans="4:11">
      <c r="D78" s="192"/>
      <c r="E78" s="193"/>
      <c r="F78" s="193"/>
      <c r="G78" s="193"/>
      <c r="H78" s="193"/>
      <c r="I78" s="193"/>
      <c r="J78" s="193"/>
      <c r="K78" s="193"/>
    </row>
    <row r="79" spans="4:11">
      <c r="D79" s="192"/>
      <c r="E79" s="193"/>
      <c r="F79" s="193"/>
      <c r="G79" s="193"/>
      <c r="H79" s="193"/>
      <c r="I79" s="193"/>
      <c r="J79" s="193"/>
      <c r="K79" s="193"/>
    </row>
    <row r="80" spans="4:11">
      <c r="D80" s="192"/>
      <c r="E80" s="193"/>
      <c r="F80" s="193"/>
      <c r="G80" s="193"/>
      <c r="H80" s="193"/>
      <c r="I80" s="193"/>
      <c r="J80" s="193"/>
      <c r="K80" s="193"/>
    </row>
    <row r="81" spans="4:11">
      <c r="D81" s="192"/>
      <c r="E81" s="193"/>
      <c r="F81" s="193"/>
      <c r="G81" s="193"/>
      <c r="H81" s="193"/>
      <c r="I81" s="193"/>
      <c r="J81" s="193"/>
      <c r="K81" s="193"/>
    </row>
    <row r="82" spans="4:11">
      <c r="D82" s="192"/>
      <c r="E82" s="193"/>
      <c r="F82" s="193"/>
      <c r="G82" s="193"/>
      <c r="H82" s="193"/>
      <c r="I82" s="193"/>
      <c r="J82" s="193"/>
      <c r="K82" s="193"/>
    </row>
    <row r="83" spans="4:11">
      <c r="D83" s="192"/>
      <c r="E83" s="193"/>
      <c r="F83" s="193"/>
      <c r="G83" s="193"/>
      <c r="H83" s="193"/>
      <c r="I83" s="193"/>
      <c r="J83" s="193"/>
      <c r="K83" s="193"/>
    </row>
    <row r="84" spans="4:11">
      <c r="D84" s="192"/>
      <c r="E84" s="193"/>
      <c r="F84" s="193"/>
      <c r="G84" s="193"/>
      <c r="H84" s="193"/>
      <c r="I84" s="193"/>
      <c r="J84" s="193"/>
      <c r="K84" s="193"/>
    </row>
    <row r="85" spans="4:11">
      <c r="D85" s="192"/>
      <c r="E85" s="193"/>
      <c r="F85" s="193"/>
      <c r="G85" s="193"/>
      <c r="H85" s="193"/>
      <c r="I85" s="193"/>
      <c r="J85" s="193"/>
      <c r="K85" s="193"/>
    </row>
    <row r="86" spans="4:11">
      <c r="D86" s="192"/>
      <c r="E86" s="193"/>
      <c r="F86" s="193"/>
      <c r="G86" s="193"/>
      <c r="H86" s="193"/>
      <c r="I86" s="193"/>
      <c r="J86" s="193"/>
      <c r="K86" s="193"/>
    </row>
    <row r="87" spans="4:11">
      <c r="D87" s="192"/>
      <c r="E87" s="193"/>
      <c r="F87" s="193"/>
      <c r="G87" s="193"/>
      <c r="H87" s="193"/>
      <c r="I87" s="193"/>
      <c r="J87" s="193"/>
      <c r="K87" s="193"/>
    </row>
    <row r="88" spans="4:11">
      <c r="D88" s="192"/>
      <c r="E88" s="193"/>
      <c r="F88" s="193"/>
      <c r="G88" s="193"/>
      <c r="H88" s="193"/>
      <c r="I88" s="193"/>
      <c r="J88" s="193"/>
      <c r="K88" s="193"/>
    </row>
    <row r="89" spans="4:11">
      <c r="D89" s="192"/>
      <c r="E89" s="193"/>
      <c r="F89" s="193"/>
      <c r="G89" s="193"/>
      <c r="H89" s="193"/>
      <c r="I89" s="193"/>
      <c r="J89" s="193"/>
      <c r="K89" s="193"/>
    </row>
    <row r="90" spans="4:11">
      <c r="D90" s="192"/>
      <c r="E90" s="193"/>
      <c r="F90" s="193"/>
      <c r="G90" s="193"/>
      <c r="H90" s="193"/>
      <c r="I90" s="193"/>
      <c r="J90" s="193"/>
      <c r="K90" s="193"/>
    </row>
    <row r="91" spans="4:11">
      <c r="D91" s="192"/>
      <c r="E91" s="193"/>
      <c r="F91" s="193"/>
      <c r="G91" s="193"/>
      <c r="H91" s="193"/>
      <c r="I91" s="193"/>
      <c r="J91" s="193"/>
      <c r="K91" s="193"/>
    </row>
    <row r="92" spans="4:11">
      <c r="D92" s="192"/>
      <c r="E92" s="193"/>
      <c r="F92" s="193"/>
      <c r="G92" s="193"/>
      <c r="H92" s="193"/>
      <c r="I92" s="193"/>
      <c r="J92" s="193"/>
      <c r="K92" s="193"/>
    </row>
    <row r="93" spans="4:11">
      <c r="D93" s="192"/>
      <c r="E93" s="193"/>
      <c r="F93" s="193"/>
      <c r="G93" s="193"/>
      <c r="H93" s="193"/>
      <c r="I93" s="193"/>
      <c r="J93" s="193"/>
      <c r="K93" s="193"/>
    </row>
    <row r="94" spans="4:11">
      <c r="D94" s="192"/>
      <c r="E94" s="193"/>
      <c r="F94" s="193"/>
      <c r="G94" s="193"/>
      <c r="H94" s="193"/>
      <c r="I94" s="193"/>
      <c r="J94" s="193"/>
      <c r="K94" s="193"/>
    </row>
    <row r="95" spans="4:11">
      <c r="D95" s="192"/>
      <c r="E95" s="193"/>
      <c r="F95" s="193"/>
      <c r="G95" s="193"/>
      <c r="H95" s="193"/>
      <c r="I95" s="193"/>
      <c r="J95" s="193"/>
      <c r="K95" s="193"/>
    </row>
    <row r="96" spans="4:11">
      <c r="D96" s="192"/>
      <c r="E96" s="193"/>
      <c r="F96" s="193"/>
      <c r="G96" s="193"/>
      <c r="H96" s="193"/>
      <c r="I96" s="193"/>
      <c r="J96" s="193"/>
      <c r="K96" s="193"/>
    </row>
    <row r="97" spans="4:11">
      <c r="D97" s="192"/>
      <c r="E97" s="193"/>
      <c r="F97" s="193"/>
      <c r="G97" s="193"/>
      <c r="H97" s="193"/>
      <c r="I97" s="193"/>
      <c r="J97" s="193"/>
      <c r="K97" s="193"/>
    </row>
    <row r="98" spans="4:11">
      <c r="D98" s="192"/>
      <c r="E98" s="193"/>
      <c r="F98" s="193"/>
      <c r="G98" s="193"/>
      <c r="H98" s="193"/>
      <c r="I98" s="193"/>
      <c r="J98" s="193"/>
      <c r="K98" s="193"/>
    </row>
    <row r="101" spans="4:11" ht="15" customHeight="1">
      <c r="D101" s="192" t="str">
        <f>general!AG105</f>
        <v>Haspelkette - links</v>
      </c>
      <c r="E101" s="193"/>
      <c r="F101" s="193"/>
      <c r="G101" s="193"/>
      <c r="H101" s="193"/>
      <c r="I101" s="193"/>
      <c r="J101" s="193"/>
      <c r="K101" s="193"/>
    </row>
    <row r="102" spans="4:11">
      <c r="D102" s="192"/>
      <c r="E102" s="193"/>
      <c r="F102" s="193"/>
      <c r="G102" s="193"/>
      <c r="H102" s="193"/>
      <c r="I102" s="193"/>
      <c r="J102" s="193"/>
      <c r="K102" s="193"/>
    </row>
    <row r="103" spans="4:11">
      <c r="D103" s="192"/>
      <c r="E103" s="193"/>
      <c r="F103" s="193"/>
      <c r="G103" s="193"/>
      <c r="H103" s="193"/>
      <c r="I103" s="193"/>
      <c r="J103" s="193"/>
      <c r="K103" s="193"/>
    </row>
    <row r="104" spans="4:11">
      <c r="D104" s="192"/>
      <c r="E104" s="193"/>
      <c r="F104" s="193"/>
      <c r="G104" s="193"/>
      <c r="H104" s="193"/>
      <c r="I104" s="193"/>
      <c r="J104" s="193"/>
      <c r="K104" s="193"/>
    </row>
    <row r="105" spans="4:11">
      <c r="D105" s="192"/>
      <c r="E105" s="193"/>
      <c r="F105" s="193"/>
      <c r="G105" s="193"/>
      <c r="H105" s="193"/>
      <c r="I105" s="193"/>
      <c r="J105" s="193"/>
      <c r="K105" s="193"/>
    </row>
    <row r="106" spans="4:11">
      <c r="D106" s="192"/>
      <c r="E106" s="193"/>
      <c r="F106" s="193"/>
      <c r="G106" s="193"/>
      <c r="H106" s="193"/>
      <c r="I106" s="193"/>
      <c r="J106" s="193"/>
      <c r="K106" s="193"/>
    </row>
    <row r="107" spans="4:11">
      <c r="D107" s="192"/>
      <c r="E107" s="193"/>
      <c r="F107" s="193"/>
      <c r="G107" s="193"/>
      <c r="H107" s="193"/>
      <c r="I107" s="193"/>
      <c r="J107" s="193"/>
      <c r="K107" s="193"/>
    </row>
    <row r="108" spans="4:11">
      <c r="D108" s="192"/>
      <c r="E108" s="193"/>
      <c r="F108" s="193"/>
      <c r="G108" s="193"/>
      <c r="H108" s="193"/>
      <c r="I108" s="193"/>
      <c r="J108" s="193"/>
      <c r="K108" s="193"/>
    </row>
    <row r="109" spans="4:11">
      <c r="D109" s="192"/>
      <c r="E109" s="193"/>
      <c r="F109" s="193"/>
      <c r="G109" s="193"/>
      <c r="H109" s="193"/>
      <c r="I109" s="193"/>
      <c r="J109" s="193"/>
      <c r="K109" s="193"/>
    </row>
    <row r="110" spans="4:11">
      <c r="D110" s="192"/>
      <c r="E110" s="193"/>
      <c r="F110" s="193"/>
      <c r="G110" s="193"/>
      <c r="H110" s="193"/>
      <c r="I110" s="193"/>
      <c r="J110" s="193"/>
      <c r="K110" s="193"/>
    </row>
    <row r="111" spans="4:11">
      <c r="D111" s="192"/>
      <c r="E111" s="193"/>
      <c r="F111" s="193"/>
      <c r="G111" s="193"/>
      <c r="H111" s="193"/>
      <c r="I111" s="193"/>
      <c r="J111" s="193"/>
      <c r="K111" s="193"/>
    </row>
    <row r="112" spans="4:11">
      <c r="D112" s="192"/>
      <c r="E112" s="193"/>
      <c r="F112" s="193"/>
      <c r="G112" s="193"/>
      <c r="H112" s="193"/>
      <c r="I112" s="193"/>
      <c r="J112" s="193"/>
      <c r="K112" s="193"/>
    </row>
    <row r="113" spans="4:11">
      <c r="D113" s="192"/>
      <c r="E113" s="193"/>
      <c r="F113" s="193"/>
      <c r="G113" s="193"/>
      <c r="H113" s="193"/>
      <c r="I113" s="193"/>
      <c r="J113" s="193"/>
      <c r="K113" s="193"/>
    </row>
    <row r="114" spans="4:11">
      <c r="D114" s="192"/>
      <c r="E114" s="193"/>
      <c r="F114" s="193"/>
      <c r="G114" s="193"/>
      <c r="H114" s="193"/>
      <c r="I114" s="193"/>
      <c r="J114" s="193"/>
      <c r="K114" s="193"/>
    </row>
    <row r="115" spans="4:11">
      <c r="D115" s="192"/>
      <c r="E115" s="193"/>
      <c r="F115" s="193"/>
      <c r="G115" s="193"/>
      <c r="H115" s="193"/>
      <c r="I115" s="193"/>
      <c r="J115" s="193"/>
      <c r="K115" s="193"/>
    </row>
    <row r="116" spans="4:11">
      <c r="D116" s="192"/>
      <c r="E116" s="193"/>
      <c r="F116" s="193"/>
      <c r="G116" s="193"/>
      <c r="H116" s="193"/>
      <c r="I116" s="193"/>
      <c r="J116" s="193"/>
      <c r="K116" s="193"/>
    </row>
    <row r="117" spans="4:11">
      <c r="D117" s="192"/>
      <c r="E117" s="193"/>
      <c r="F117" s="193"/>
      <c r="G117" s="193"/>
      <c r="H117" s="193"/>
      <c r="I117" s="193"/>
      <c r="J117" s="193"/>
      <c r="K117" s="193"/>
    </row>
    <row r="118" spans="4:11">
      <c r="D118" s="192"/>
      <c r="E118" s="193"/>
      <c r="F118" s="193"/>
      <c r="G118" s="193"/>
      <c r="H118" s="193"/>
      <c r="I118" s="193"/>
      <c r="J118" s="193"/>
      <c r="K118" s="193"/>
    </row>
    <row r="119" spans="4:11">
      <c r="D119" s="192"/>
      <c r="E119" s="193"/>
      <c r="F119" s="193"/>
      <c r="G119" s="193"/>
      <c r="H119" s="193"/>
      <c r="I119" s="193"/>
      <c r="J119" s="193"/>
      <c r="K119" s="193"/>
    </row>
    <row r="120" spans="4:11">
      <c r="D120" s="192"/>
      <c r="E120" s="193"/>
      <c r="F120" s="193"/>
      <c r="G120" s="193"/>
      <c r="H120" s="193"/>
      <c r="I120" s="193"/>
      <c r="J120" s="193"/>
      <c r="K120" s="193"/>
    </row>
    <row r="121" spans="4:11">
      <c r="D121" s="192"/>
      <c r="E121" s="193"/>
      <c r="F121" s="193"/>
      <c r="G121" s="193"/>
      <c r="H121" s="193"/>
      <c r="I121" s="193"/>
      <c r="J121" s="193"/>
      <c r="K121" s="193"/>
    </row>
    <row r="122" spans="4:11">
      <c r="D122" s="192"/>
      <c r="E122" s="193"/>
      <c r="F122" s="193"/>
      <c r="G122" s="193"/>
      <c r="H122" s="193"/>
      <c r="I122" s="193"/>
      <c r="J122" s="193"/>
      <c r="K122" s="193"/>
    </row>
    <row r="123" spans="4:11">
      <c r="D123" s="192"/>
      <c r="E123" s="193"/>
      <c r="F123" s="193"/>
      <c r="G123" s="193"/>
      <c r="H123" s="193"/>
      <c r="I123" s="193"/>
      <c r="J123" s="193"/>
      <c r="K123" s="193"/>
    </row>
    <row r="124" spans="4:11">
      <c r="D124" s="192"/>
      <c r="E124" s="193"/>
      <c r="F124" s="193"/>
      <c r="G124" s="193"/>
      <c r="H124" s="193"/>
      <c r="I124" s="193"/>
      <c r="J124" s="193"/>
      <c r="K124" s="193"/>
    </row>
    <row r="125" spans="4:11">
      <c r="D125" s="192"/>
      <c r="E125" s="193"/>
      <c r="F125" s="193"/>
      <c r="G125" s="193"/>
      <c r="H125" s="193"/>
      <c r="I125" s="193"/>
      <c r="J125" s="193"/>
      <c r="K125" s="193"/>
    </row>
    <row r="128" spans="4:11" ht="15" customHeight="1">
      <c r="D128" s="192" t="str">
        <f>general!AG106</f>
        <v>Haspelkette - rechts</v>
      </c>
      <c r="E128" s="193"/>
      <c r="F128" s="193"/>
      <c r="G128" s="193"/>
      <c r="H128" s="193"/>
      <c r="I128" s="193"/>
      <c r="J128" s="193"/>
      <c r="K128" s="193"/>
    </row>
    <row r="129" spans="4:11">
      <c r="D129" s="192"/>
      <c r="E129" s="193"/>
      <c r="F129" s="193"/>
      <c r="G129" s="193"/>
      <c r="H129" s="193"/>
      <c r="I129" s="193"/>
      <c r="J129" s="193"/>
      <c r="K129" s="193"/>
    </row>
    <row r="130" spans="4:11">
      <c r="D130" s="192"/>
      <c r="E130" s="193"/>
      <c r="F130" s="193"/>
      <c r="G130" s="193"/>
      <c r="H130" s="193"/>
      <c r="I130" s="193"/>
      <c r="J130" s="193"/>
      <c r="K130" s="193"/>
    </row>
    <row r="131" spans="4:11">
      <c r="D131" s="192"/>
      <c r="E131" s="193"/>
      <c r="F131" s="193"/>
      <c r="G131" s="193"/>
      <c r="H131" s="193"/>
      <c r="I131" s="193"/>
      <c r="J131" s="193"/>
      <c r="K131" s="193"/>
    </row>
    <row r="132" spans="4:11">
      <c r="D132" s="192"/>
      <c r="E132" s="193"/>
      <c r="F132" s="193"/>
      <c r="G132" s="193"/>
      <c r="H132" s="193"/>
      <c r="I132" s="193"/>
      <c r="J132" s="193"/>
      <c r="K132" s="193"/>
    </row>
    <row r="133" spans="4:11">
      <c r="D133" s="192"/>
      <c r="E133" s="193"/>
      <c r="F133" s="193"/>
      <c r="G133" s="193"/>
      <c r="H133" s="193"/>
      <c r="I133" s="193"/>
      <c r="J133" s="193"/>
      <c r="K133" s="193"/>
    </row>
    <row r="134" spans="4:11">
      <c r="D134" s="192"/>
      <c r="E134" s="193"/>
      <c r="F134" s="193"/>
      <c r="G134" s="193"/>
      <c r="H134" s="193"/>
      <c r="I134" s="193"/>
      <c r="J134" s="193"/>
      <c r="K134" s="193"/>
    </row>
    <row r="135" spans="4:11">
      <c r="D135" s="192"/>
      <c r="E135" s="193"/>
      <c r="F135" s="193"/>
      <c r="G135" s="193"/>
      <c r="H135" s="193"/>
      <c r="I135" s="193"/>
      <c r="J135" s="193"/>
      <c r="K135" s="193"/>
    </row>
    <row r="136" spans="4:11">
      <c r="D136" s="192"/>
      <c r="E136" s="193"/>
      <c r="F136" s="193"/>
      <c r="G136" s="193"/>
      <c r="H136" s="193"/>
      <c r="I136" s="193"/>
      <c r="J136" s="193"/>
      <c r="K136" s="193"/>
    </row>
    <row r="137" spans="4:11">
      <c r="D137" s="192"/>
      <c r="E137" s="193"/>
      <c r="F137" s="193"/>
      <c r="G137" s="193"/>
      <c r="H137" s="193"/>
      <c r="I137" s="193"/>
      <c r="J137" s="193"/>
      <c r="K137" s="193"/>
    </row>
    <row r="138" spans="4:11">
      <c r="D138" s="192"/>
      <c r="E138" s="193"/>
      <c r="F138" s="193"/>
      <c r="G138" s="193"/>
      <c r="H138" s="193"/>
      <c r="I138" s="193"/>
      <c r="J138" s="193"/>
      <c r="K138" s="193"/>
    </row>
    <row r="139" spans="4:11">
      <c r="D139" s="192"/>
      <c r="E139" s="193"/>
      <c r="F139" s="193"/>
      <c r="G139" s="193"/>
      <c r="H139" s="193"/>
      <c r="I139" s="193"/>
      <c r="J139" s="193"/>
      <c r="K139" s="193"/>
    </row>
    <row r="140" spans="4:11">
      <c r="D140" s="192"/>
      <c r="E140" s="193"/>
      <c r="F140" s="193"/>
      <c r="G140" s="193"/>
      <c r="H140" s="193"/>
      <c r="I140" s="193"/>
      <c r="J140" s="193"/>
      <c r="K140" s="193"/>
    </row>
    <row r="141" spans="4:11">
      <c r="D141" s="192"/>
      <c r="E141" s="193"/>
      <c r="F141" s="193"/>
      <c r="G141" s="193"/>
      <c r="H141" s="193"/>
      <c r="I141" s="193"/>
      <c r="J141" s="193"/>
      <c r="K141" s="193"/>
    </row>
    <row r="142" spans="4:11">
      <c r="D142" s="192"/>
      <c r="E142" s="193"/>
      <c r="F142" s="193"/>
      <c r="G142" s="193"/>
      <c r="H142" s="193"/>
      <c r="I142" s="193"/>
      <c r="J142" s="193"/>
      <c r="K142" s="193"/>
    </row>
    <row r="143" spans="4:11">
      <c r="D143" s="192"/>
      <c r="E143" s="193"/>
      <c r="F143" s="193"/>
      <c r="G143" s="193"/>
      <c r="H143" s="193"/>
      <c r="I143" s="193"/>
      <c r="J143" s="193"/>
      <c r="K143" s="193"/>
    </row>
    <row r="144" spans="4:11">
      <c r="D144" s="192"/>
      <c r="E144" s="193"/>
      <c r="F144" s="193"/>
      <c r="G144" s="193"/>
      <c r="H144" s="193"/>
      <c r="I144" s="193"/>
      <c r="J144" s="193"/>
      <c r="K144" s="193"/>
    </row>
    <row r="145" spans="4:11">
      <c r="D145" s="192"/>
      <c r="E145" s="193"/>
      <c r="F145" s="193"/>
      <c r="G145" s="193"/>
      <c r="H145" s="193"/>
      <c r="I145" s="193"/>
      <c r="J145" s="193"/>
      <c r="K145" s="193"/>
    </row>
    <row r="146" spans="4:11">
      <c r="D146" s="192"/>
      <c r="E146" s="193"/>
      <c r="F146" s="193"/>
      <c r="G146" s="193"/>
      <c r="H146" s="193"/>
      <c r="I146" s="193"/>
      <c r="J146" s="193"/>
      <c r="K146" s="193"/>
    </row>
    <row r="147" spans="4:11">
      <c r="D147" s="192"/>
      <c r="E147" s="193"/>
      <c r="F147" s="193"/>
      <c r="G147" s="193"/>
      <c r="H147" s="193"/>
      <c r="I147" s="193"/>
      <c r="J147" s="193"/>
      <c r="K147" s="193"/>
    </row>
    <row r="148" spans="4:11">
      <c r="D148" s="192"/>
      <c r="E148" s="193"/>
      <c r="F148" s="193"/>
      <c r="G148" s="193"/>
      <c r="H148" s="193"/>
      <c r="I148" s="193"/>
      <c r="J148" s="193"/>
      <c r="K148" s="193"/>
    </row>
    <row r="149" spans="4:11">
      <c r="D149" s="192"/>
      <c r="E149" s="193"/>
      <c r="F149" s="193"/>
      <c r="G149" s="193"/>
      <c r="H149" s="193"/>
      <c r="I149" s="193"/>
      <c r="J149" s="193"/>
      <c r="K149" s="193"/>
    </row>
    <row r="150" spans="4:11">
      <c r="D150" s="192"/>
      <c r="E150" s="193"/>
      <c r="F150" s="193"/>
      <c r="G150" s="193"/>
      <c r="H150" s="193"/>
      <c r="I150" s="193"/>
      <c r="J150" s="193"/>
      <c r="K150" s="193"/>
    </row>
    <row r="151" spans="4:11">
      <c r="D151" s="192"/>
      <c r="E151" s="193"/>
      <c r="F151" s="193"/>
      <c r="G151" s="193"/>
      <c r="H151" s="193"/>
      <c r="I151" s="193"/>
      <c r="J151" s="193"/>
      <c r="K151" s="193"/>
    </row>
    <row r="152" spans="4:11">
      <c r="D152" s="192"/>
      <c r="E152" s="193"/>
      <c r="F152" s="193"/>
      <c r="G152" s="193"/>
      <c r="H152" s="193"/>
      <c r="I152" s="193"/>
      <c r="J152" s="193"/>
      <c r="K152" s="193"/>
    </row>
  </sheetData>
  <mergeCells count="11">
    <mergeCell ref="D101:D125"/>
    <mergeCell ref="E101:K125"/>
    <mergeCell ref="D128:D152"/>
    <mergeCell ref="E128:K152"/>
    <mergeCell ref="Y6:AE8"/>
    <mergeCell ref="D20:D44"/>
    <mergeCell ref="E20:K44"/>
    <mergeCell ref="D47:D71"/>
    <mergeCell ref="E47:K71"/>
    <mergeCell ref="D74:D98"/>
    <mergeCell ref="E74:K98"/>
  </mergeCells>
  <dataValidations count="1">
    <dataValidation type="list" allowBlank="1" showInputMessage="1" showErrorMessage="1" sqref="N16:N18 O16:U16 O18:U18" xr:uid="{E4B5269D-8522-498F-B0DD-2FD3E4D1894A}">
      <formula1>$Z$8:$Z$9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general</vt:lpstr>
      <vt:lpstr>SW-R</vt:lpstr>
      <vt:lpstr>SW-L</vt:lpstr>
      <vt:lpstr>Manually_operated</vt:lpstr>
      <vt:lpstr>Obrázky</vt:lpstr>
      <vt:lpstr>general!Druckbereich</vt:lpstr>
    </vt:vector>
  </TitlesOfParts>
  <Company>Rohaka Management and Support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Krause</dc:creator>
  <cp:lastModifiedBy>Tatjana Krause</cp:lastModifiedBy>
  <dcterms:created xsi:type="dcterms:W3CDTF">2024-06-11T11:41:34Z</dcterms:created>
  <dcterms:modified xsi:type="dcterms:W3CDTF">2024-07-10T07:31:56Z</dcterms:modified>
</cp:coreProperties>
</file>