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76E843B4-07C6-4EAC-94AB-CDE17D5079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3" l="1"/>
  <c r="B15" i="3"/>
  <c r="F27" i="2"/>
  <c r="B15" i="2"/>
  <c r="AL46" i="1"/>
  <c r="AL43" i="1"/>
  <c r="F31" i="1"/>
  <c r="B22" i="1"/>
  <c r="T21" i="1"/>
  <c r="B16" i="1"/>
  <c r="O12" i="1"/>
  <c r="AE1" i="1"/>
  <c r="AG119" i="1" s="1"/>
  <c r="H9" i="1" s="1"/>
  <c r="AG6" i="1" l="1"/>
  <c r="AG29" i="1"/>
  <c r="AG2" i="1"/>
  <c r="AG27" i="1"/>
  <c r="AG30" i="1"/>
  <c r="AG33" i="1"/>
  <c r="R60" i="1" s="1"/>
  <c r="AG44" i="1"/>
  <c r="AG46" i="1"/>
  <c r="AG55" i="1"/>
  <c r="AG60" i="1"/>
  <c r="AG64" i="1"/>
  <c r="AG67" i="1"/>
  <c r="AG71" i="1"/>
  <c r="AG75" i="1"/>
  <c r="AG79" i="1"/>
  <c r="AG85" i="1"/>
  <c r="AG89" i="1"/>
  <c r="AG93" i="1"/>
  <c r="AG97" i="1"/>
  <c r="AG103" i="1"/>
  <c r="AG108" i="1"/>
  <c r="E42" i="2" s="1"/>
  <c r="AG115" i="1"/>
  <c r="AG121" i="1"/>
  <c r="AG4" i="1"/>
  <c r="AG8" i="1"/>
  <c r="AG15" i="1"/>
  <c r="O5" i="1"/>
  <c r="AG14" i="1"/>
  <c r="AG16" i="1"/>
  <c r="AG21" i="1"/>
  <c r="AG22" i="1"/>
  <c r="AG31" i="1"/>
  <c r="AG36" i="1"/>
  <c r="AG38" i="1"/>
  <c r="AG42" i="1"/>
  <c r="AG45" i="1"/>
  <c r="AG66" i="1"/>
  <c r="AG68" i="1"/>
  <c r="AG72" i="1"/>
  <c r="AG76" i="1"/>
  <c r="AG80" i="1"/>
  <c r="AG86" i="1"/>
  <c r="AG90" i="1"/>
  <c r="AG94" i="1"/>
  <c r="AG99" i="1"/>
  <c r="AG104" i="1"/>
  <c r="AG110" i="1"/>
  <c r="I22" i="1" s="1"/>
  <c r="AG116" i="1"/>
  <c r="AG122" i="1"/>
  <c r="AG3" i="1"/>
  <c r="AG5" i="1"/>
  <c r="AG7" i="1"/>
  <c r="E37" i="1" s="1"/>
  <c r="AG17" i="1"/>
  <c r="AG26" i="1"/>
  <c r="AG28" i="1"/>
  <c r="AG43" i="1"/>
  <c r="AG50" i="1"/>
  <c r="AG52" i="1"/>
  <c r="AG56" i="1"/>
  <c r="AG62" i="1"/>
  <c r="C58" i="1" s="1"/>
  <c r="AG69" i="1"/>
  <c r="AG73" i="1"/>
  <c r="AG77" i="1"/>
  <c r="AG81" i="1"/>
  <c r="AG87" i="1"/>
  <c r="AG91" i="1"/>
  <c r="AG95" i="1"/>
  <c r="AG101" i="1"/>
  <c r="AG106" i="1"/>
  <c r="AG112" i="1"/>
  <c r="AG118" i="1"/>
  <c r="J21" i="1" s="1"/>
  <c r="AG13" i="1"/>
  <c r="AG23" i="1"/>
  <c r="AG32" i="1"/>
  <c r="AG37" i="1"/>
  <c r="AG39" i="1"/>
  <c r="AG49" i="1"/>
  <c r="AG51" i="1"/>
  <c r="AG57" i="1"/>
  <c r="AG61" i="1"/>
  <c r="C57" i="1" s="1"/>
  <c r="AG63" i="1"/>
  <c r="AG65" i="1"/>
  <c r="AG70" i="1"/>
  <c r="AG74" i="1"/>
  <c r="AG78" i="1"/>
  <c r="AG82" i="1"/>
  <c r="AG88" i="1"/>
  <c r="AG92" i="1"/>
  <c r="AG96" i="1"/>
  <c r="AG102" i="1"/>
  <c r="AG107" i="1"/>
  <c r="E42" i="3" s="1"/>
  <c r="AG113" i="1"/>
  <c r="B55" i="1" s="1"/>
  <c r="C59" i="1" l="1"/>
  <c r="I26" i="1"/>
  <c r="R59" i="1"/>
  <c r="H3" i="1"/>
  <c r="Y32" i="1"/>
  <c r="I31" i="1"/>
  <c r="B31" i="1"/>
  <c r="O7" i="1"/>
  <c r="M61" i="1"/>
  <c r="C60" i="1"/>
  <c r="V63" i="1"/>
  <c r="G57" i="1"/>
  <c r="Q2" i="1"/>
  <c r="V68" i="1"/>
  <c r="V65" i="1"/>
  <c r="H7" i="1"/>
  <c r="M57" i="1"/>
  <c r="M63" i="1"/>
  <c r="C66" i="1"/>
  <c r="G60" i="1"/>
  <c r="R58" i="1"/>
  <c r="H5" i="1"/>
  <c r="R61" i="1"/>
  <c r="C61" i="1"/>
  <c r="R52" i="1"/>
  <c r="X61" i="1"/>
  <c r="C64" i="1"/>
  <c r="B54" i="1"/>
  <c r="R48" i="1"/>
  <c r="Z68" i="1"/>
  <c r="H63" i="1"/>
  <c r="B53" i="1"/>
  <c r="R53" i="1"/>
  <c r="D12" i="1"/>
  <c r="AA61" i="1"/>
  <c r="L38" i="1"/>
  <c r="Y27" i="1"/>
  <c r="H61" i="1"/>
  <c r="H62" i="1"/>
  <c r="AB61" i="1"/>
  <c r="I28" i="1"/>
  <c r="R50" i="1"/>
  <c r="T61" i="1"/>
  <c r="C62" i="1"/>
  <c r="X46" i="1"/>
  <c r="Y22" i="1"/>
  <c r="H58" i="1"/>
  <c r="B56" i="1"/>
  <c r="R55" i="1"/>
  <c r="AA68" i="1"/>
  <c r="H64" i="1"/>
  <c r="H59" i="1"/>
  <c r="I23" i="1"/>
  <c r="C42" i="3"/>
  <c r="C42" i="2"/>
  <c r="V61" i="1"/>
  <c r="C63" i="1"/>
  <c r="I25" i="1"/>
  <c r="P58" i="1"/>
  <c r="B39" i="1"/>
  <c r="Q31" i="1"/>
  <c r="R46" i="1"/>
  <c r="B50" i="1"/>
  <c r="Z61" i="1"/>
  <c r="C65" i="1"/>
  <c r="B52" i="1"/>
  <c r="R57" i="1"/>
  <c r="Q9" i="1"/>
  <c r="C48" i="3" l="1"/>
  <c r="C48" i="2"/>
  <c r="B6" i="3"/>
  <c r="P64" i="1"/>
  <c r="O11" i="1" s="1"/>
  <c r="B6" i="2"/>
  <c r="L64" i="1"/>
  <c r="J68" i="1" s="1"/>
  <c r="P60" i="1"/>
  <c r="L59" i="1"/>
  <c r="O10" i="1" s="1"/>
  <c r="T15" i="1"/>
  <c r="C46" i="3"/>
  <c r="C46" i="2"/>
  <c r="C44" i="3"/>
  <c r="C44" i="2"/>
  <c r="E42" i="1"/>
  <c r="C40" i="3"/>
  <c r="C40" i="2"/>
  <c r="Q13" i="1" l="1"/>
  <c r="R14" i="1"/>
  <c r="H69" i="1"/>
  <c r="N68" i="1"/>
  <c r="I67" i="1"/>
  <c r="O66" i="1"/>
  <c r="K66" i="1"/>
  <c r="I65" i="1"/>
  <c r="G69" i="1"/>
  <c r="M68" i="1"/>
  <c r="H68" i="1"/>
  <c r="O67" i="1"/>
  <c r="G67" i="1"/>
  <c r="N66" i="1"/>
  <c r="H66" i="1"/>
  <c r="G65" i="1"/>
  <c r="L69" i="1"/>
  <c r="L68" i="1"/>
  <c r="G68" i="1"/>
  <c r="N67" i="1"/>
  <c r="M66" i="1"/>
  <c r="G66" i="1"/>
  <c r="O65" i="1"/>
  <c r="K69" i="1"/>
  <c r="O68" i="1"/>
  <c r="K68" i="1"/>
  <c r="M67" i="1"/>
  <c r="P66" i="1"/>
  <c r="P67" i="1" s="1"/>
  <c r="L66" i="1"/>
  <c r="M65" i="1"/>
  <c r="P68" i="1" l="1"/>
</calcChain>
</file>

<file path=xl/sharedStrings.xml><?xml version="1.0" encoding="utf-8"?>
<sst xmlns="http://schemas.openxmlformats.org/spreadsheetml/2006/main" count="889" uniqueCount="797">
  <si>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</si>
  <si>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</si>
  <si>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</si>
  <si>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</si>
  <si>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</si>
  <si>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</si>
  <si>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</si>
  <si>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</si>
  <si>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</si>
  <si>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</si>
  <si>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</si>
  <si>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</si>
  <si>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</si>
  <si>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</si>
  <si>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</si>
  <si>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</si>
  <si>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</si>
  <si>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</si>
  <si>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</si>
  <si>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</si>
  <si>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</si>
  <si>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</si>
  <si>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</si>
  <si>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</si>
  <si>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</si>
  <si>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</si>
  <si>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</si>
  <si>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</si>
  <si>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</si>
  <si>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</si>
  <si>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</si>
  <si>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</si>
  <si>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</si>
  <si>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6000 mm; H max 5000 mm; max. 23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</si>
  <si>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</si>
  <si>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</si>
  <si>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</si>
  <si>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</si>
  <si>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</si>
  <si>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</si>
  <si>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</si>
  <si>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</si>
  <si>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</si>
  <si>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</si>
  <si>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</si>
  <si>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</si>
  <si>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</si>
  <si>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</si>
  <si>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</si>
  <si>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</si>
  <si>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</si>
  <si>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</si>
  <si>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</si>
  <si>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</si>
  <si>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</si>
  <si>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</si>
  <si>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</si>
  <si>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</si>
  <si>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</si>
  <si>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</si>
  <si>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</si>
  <si>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</si>
  <si>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</si>
  <si>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</si>
  <si>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</si>
  <si>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</si>
  <si>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</si>
  <si>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</si>
  <si>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</si>
  <si>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</si>
  <si>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</si>
  <si>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</si>
  <si>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</si>
  <si>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</si>
  <si>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</si>
  <si>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</si>
  <si>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</si>
  <si>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</si>
  <si>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</si>
  <si>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</si>
  <si>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</si>
  <si>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</si>
  <si>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</t>
  </si>
  <si>
    <t>Y=</t>
  </si>
  <si>
    <t>VEDENÍ PRO NÍZKÝ PŘEKLAD (LL-CE)</t>
  </si>
  <si>
    <t>LOW LIFT SYSTEM CABLES INSIDE  (LL-CE)</t>
  </si>
  <si>
    <t>NIEDRIGSTURZ BESCHLAG (LL-CE)</t>
  </si>
  <si>
    <t>PROWADZENIE DLA NIESKIEGO NADPROŻA (LL-CE)</t>
  </si>
  <si>
    <t>LEVEE REDUITE (LL-CE)</t>
  </si>
  <si>
    <t>LAAG PLAFONDSYSTEEM KABELS BINNENDOOR (LL-CE)</t>
  </si>
  <si>
    <t>Madaltõste (LL-CE)</t>
  </si>
  <si>
    <t>MATALANOSTO (LL-CE)</t>
  </si>
  <si>
    <t>НИЗКИЙ ПОДЪЕМ (LL-CE)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</si>
  <si>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</si>
  <si>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</si>
  <si>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</si>
  <si>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</si>
  <si>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</si>
  <si>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</si>
  <si>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</si>
  <si>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</si>
  <si>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</si>
  <si>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</si>
  <si>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</si>
  <si>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</si>
  <si>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</si>
  <si>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</si>
  <si>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</si>
  <si>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</si>
  <si>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</si>
  <si>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</si>
  <si>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</si>
  <si>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</si>
  <si>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</si>
  <si>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</si>
  <si>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</si>
  <si>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</si>
  <si>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</si>
  <si>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</si>
  <si>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5000x5000, max. 24 m2 (300 kg)</t>
  </si>
  <si>
    <t>Max. W x H 4000x4000</t>
  </si>
  <si>
    <t>макс. ШхВ (WxH) 5000x5000, max. 24 m2 (300 kg)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</si>
  <si>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</si>
  <si>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</si>
  <si>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</si>
  <si>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</si>
  <si>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</si>
  <si>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</si>
  <si>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</si>
  <si>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</si>
  <si>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</si>
  <si>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</si>
  <si>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</si>
  <si>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</si>
  <si>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</si>
  <si>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</si>
  <si>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</si>
  <si>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</si>
  <si>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</si>
  <si>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</si>
  <si>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</si>
  <si>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</si>
  <si>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</si>
  <si>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</si>
  <si>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</si>
  <si>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</si>
  <si>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</si>
  <si>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</si>
  <si>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</si>
  <si>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</si>
  <si>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</si>
  <si>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</si>
  <si>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</si>
  <si>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</si>
  <si>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</si>
  <si>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</si>
  <si>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</si>
  <si>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</si>
  <si>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</si>
  <si>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</si>
  <si>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</si>
  <si>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</si>
  <si>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</si>
  <si>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</si>
  <si>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</si>
  <si>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</si>
  <si>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</si>
  <si>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</si>
  <si>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</si>
  <si>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</si>
  <si>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</si>
  <si>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</si>
  <si>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</si>
  <si>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</si>
  <si>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</si>
  <si>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</si>
  <si>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</si>
  <si>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</si>
  <si>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</si>
  <si>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</si>
  <si>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</si>
  <si>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</si>
  <si>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</si>
  <si>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</si>
  <si>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</si>
  <si>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</si>
  <si>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</si>
  <si>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</si>
  <si>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</si>
  <si>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</si>
  <si>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</si>
  <si>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</si>
  <si>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</si>
  <si>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</si>
  <si>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</si>
  <si>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>W=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</si>
  <si>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</si>
  <si>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</si>
  <si>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</si>
  <si>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</si>
  <si>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</si>
  <si>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</si>
  <si>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</si>
  <si>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</si>
  <si>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</si>
  <si>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</si>
  <si>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</si>
  <si>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</si>
  <si>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</si>
  <si>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</si>
  <si>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</si>
  <si>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</si>
  <si>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</si>
  <si>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</si>
  <si>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</si>
  <si>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</si>
  <si>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</si>
  <si>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</si>
  <si>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</si>
  <si>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</si>
  <si>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</si>
  <si>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</si>
  <si>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5необходимо обеспечить монтажную поверхность для панели управления, размеры 200х400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</si>
  <si>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</si>
  <si>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</si>
  <si>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</si>
  <si>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</si>
  <si>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</si>
  <si>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</si>
  <si>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</si>
  <si>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</si>
  <si>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</si>
  <si>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</si>
  <si>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</si>
  <si>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</si>
  <si>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</si>
  <si>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</si>
  <si>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</si>
  <si>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</si>
  <si>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</si>
  <si>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</si>
  <si>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</si>
  <si>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</si>
  <si>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</si>
  <si>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</si>
  <si>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</si>
  <si>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</si>
  <si>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</si>
  <si>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</si>
  <si>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</si>
  <si>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</si>
  <si>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</si>
  <si>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</si>
  <si>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</si>
  <si>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</si>
  <si>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</si>
  <si>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</si>
  <si>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</si>
  <si>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</si>
  <si>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</si>
  <si>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</si>
  <si>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</si>
  <si>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</si>
  <si>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</si>
  <si>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</si>
  <si>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</si>
  <si>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</si>
  <si>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</si>
  <si>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</si>
  <si>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</si>
  <si>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</si>
  <si>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</si>
  <si>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</si>
  <si>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</si>
  <si>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</si>
  <si>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</si>
  <si>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</si>
  <si>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</si>
  <si>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</si>
  <si>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</si>
  <si>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</si>
  <si>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</si>
  <si>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</si>
  <si>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</si>
  <si>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</si>
  <si>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</si>
  <si>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</si>
  <si>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</si>
  <si>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</si>
  <si>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</si>
  <si>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</si>
  <si>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</si>
  <si>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</si>
  <si>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</si>
  <si>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</si>
  <si>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</si>
  <si>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</si>
  <si>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</si>
  <si>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</si>
  <si>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</si>
  <si>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</si>
  <si>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</si>
  <si>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</si>
  <si>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</si>
  <si>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</si>
  <si>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</si>
  <si>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</si>
  <si>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</si>
  <si>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</si>
  <si>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</si>
  <si>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</si>
  <si>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</si>
  <si>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</si>
  <si>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</si>
  <si>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</si>
  <si>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</si>
  <si>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</si>
  <si>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</si>
  <si>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</si>
  <si>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</si>
  <si>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</si>
  <si>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</si>
  <si>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</si>
  <si>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</si>
  <si>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</si>
  <si>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</si>
  <si>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</si>
  <si>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</si>
  <si>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</si>
  <si>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</si>
  <si>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</si>
  <si>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</si>
  <si>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</si>
  <si>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</si>
  <si>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</si>
  <si>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</si>
  <si>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</si>
  <si>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</si>
  <si>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</si>
  <si>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</si>
  <si>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</si>
  <si>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</si>
  <si>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</si>
  <si>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</si>
  <si>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</si>
  <si>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</si>
  <si>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</si>
  <si>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</si>
  <si>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</si>
  <si>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</si>
  <si>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</si>
  <si>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</si>
  <si>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</si>
  <si>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</si>
  <si>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</si>
  <si>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</si>
  <si>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</si>
  <si>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</si>
  <si>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</si>
  <si>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</si>
  <si>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</si>
  <si>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150</t>
  </si>
  <si>
    <t>F</t>
  </si>
  <si>
    <t xml:space="preserve">F = </t>
  </si>
  <si>
    <t>D</t>
  </si>
  <si>
    <t>H + 1250</t>
  </si>
  <si>
    <t>A=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</si>
  <si>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</si>
  <si>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</si>
  <si>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</si>
  <si>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</si>
  <si>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</si>
  <si>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</si>
  <si>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</si>
  <si>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</si>
  <si>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</si>
  <si>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L = </t>
  </si>
  <si>
    <t>L</t>
  </si>
  <si>
    <t>ширина проема</t>
  </si>
  <si>
    <t xml:space="preserve">R = </t>
  </si>
  <si>
    <t>R</t>
  </si>
  <si>
    <t>min. 180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</si>
  <si>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</si>
  <si>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</si>
  <si>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</si>
  <si>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</si>
  <si>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</si>
  <si>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</si>
  <si>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</si>
  <si>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D = </t>
  </si>
  <si>
    <t>min. 400</t>
  </si>
  <si>
    <t>http://door-documents.com/en/indy-installation-drawing-ll-ce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</si>
  <si>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</si>
  <si>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</si>
  <si>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</si>
  <si>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</si>
  <si>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</si>
  <si>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</si>
  <si>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</si>
  <si>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</si>
  <si>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S</t>
  </si>
  <si>
    <t>H + 1020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</si>
  <si>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</si>
  <si>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</si>
  <si>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</si>
  <si>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</si>
  <si>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</si>
  <si>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</si>
  <si>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</si>
  <si>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</si>
  <si>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</si>
  <si>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</si>
  <si>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</si>
  <si>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</si>
  <si>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</si>
  <si>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</si>
  <si>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</si>
  <si>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</si>
  <si>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</si>
  <si>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</si>
  <si>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</si>
  <si>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S=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</si>
  <si>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</si>
  <si>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</si>
  <si>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</si>
  <si>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</si>
  <si>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</si>
  <si>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</si>
  <si>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</si>
  <si>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</si>
  <si>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</si>
  <si>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</si>
  <si>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</si>
  <si>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</si>
  <si>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</si>
  <si>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</si>
  <si>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</si>
  <si>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</si>
  <si>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</si>
  <si>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</si>
  <si>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</si>
  <si>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</si>
  <si>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</si>
  <si>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</si>
  <si>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</si>
  <si>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</si>
  <si>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</si>
  <si>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</si>
  <si>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</si>
  <si>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050-5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</si>
  <si>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</si>
  <si>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</si>
  <si>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</si>
  <si>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</si>
  <si>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</si>
  <si>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</si>
  <si>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</si>
  <si>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</si>
  <si>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</si>
  <si>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</si>
  <si>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</si>
  <si>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</si>
  <si>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</si>
  <si>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</si>
  <si>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</si>
  <si>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</si>
  <si>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</si>
  <si>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</si>
  <si>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</si>
  <si>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</si>
  <si>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</si>
  <si>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</si>
  <si>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</si>
  <si>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</si>
  <si>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</si>
  <si>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</si>
  <si>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</si>
  <si>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</si>
  <si>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</si>
  <si>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</si>
  <si>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</si>
  <si>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</si>
  <si>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</si>
  <si>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</si>
  <si>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</si>
  <si>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</si>
  <si>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</si>
  <si>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</si>
  <si>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</si>
  <si>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</si>
  <si>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</si>
  <si>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</si>
  <si>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</si>
  <si>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</si>
  <si>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</si>
  <si>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</si>
  <si>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</si>
  <si>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</si>
  <si>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</si>
  <si>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</si>
  <si>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</si>
  <si>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</si>
  <si>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</si>
  <si>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</si>
  <si>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</si>
  <si>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</si>
  <si>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</si>
  <si>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</si>
  <si>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</si>
  <si>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</si>
  <si>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</si>
  <si>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</si>
  <si>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</si>
  <si>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</si>
  <si>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</si>
  <si>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</si>
  <si>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</si>
  <si>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</si>
  <si>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</si>
  <si>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</si>
  <si>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</si>
  <si>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</si>
  <si>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</si>
  <si>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</si>
  <si>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</si>
  <si>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</si>
  <si>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</si>
  <si>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</si>
  <si>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</si>
  <si>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</si>
  <si>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</si>
  <si>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</si>
  <si>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</si>
  <si>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</si>
  <si>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</si>
  <si>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</si>
  <si>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</si>
  <si>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</si>
  <si>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</si>
  <si>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</si>
  <si>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</si>
  <si>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</si>
  <si>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</si>
  <si>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</si>
  <si>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</si>
  <si>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</si>
  <si>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</si>
  <si>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</si>
  <si>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</si>
  <si>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</si>
  <si>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</si>
  <si>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</si>
  <si>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</si>
  <si>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</si>
  <si>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</si>
  <si>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</si>
  <si>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</si>
  <si>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</si>
  <si>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</si>
  <si>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</si>
  <si>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</si>
  <si>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</si>
  <si>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</si>
  <si>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</si>
  <si>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</si>
  <si>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</si>
  <si>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</si>
  <si>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</si>
  <si>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</si>
  <si>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</si>
  <si>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</si>
  <si>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</si>
  <si>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</si>
  <si>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</si>
  <si>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</si>
  <si>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</si>
  <si>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</si>
  <si>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</si>
  <si>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</si>
  <si>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</si>
  <si>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</si>
  <si>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</si>
  <si>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</si>
  <si>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</si>
  <si>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</si>
  <si>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</si>
  <si>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</si>
  <si>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</si>
  <si>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</si>
  <si>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</si>
  <si>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</si>
  <si>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</si>
  <si>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</si>
  <si>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</si>
  <si>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</si>
  <si>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</si>
  <si>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</si>
  <si>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</si>
  <si>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</si>
  <si>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</si>
  <si>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</si>
  <si>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</si>
  <si>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</si>
  <si>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</si>
  <si>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</si>
  <si>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</si>
  <si>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</si>
  <si>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</si>
  <si>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</si>
  <si>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</si>
  <si>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</si>
  <si>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</si>
  <si>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</si>
  <si>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</si>
  <si>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</si>
  <si>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</si>
  <si>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</si>
  <si>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</si>
  <si>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</si>
  <si>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</si>
  <si>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</si>
  <si>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 </t>
  </si>
  <si>
    <t xml:space="preserve">INSTALLATION DRAWING </t>
  </si>
  <si>
    <t>BAUBEREITSCHAFT                           NIEDRIGSTURZ BESCHLAG (LL-CE)</t>
  </si>
  <si>
    <t>PRZYGOTOWANIE KONSTRUKCYJNE                           PROWADZENIE DLA NIESKIEGO NADPROŻA (LL-CE)</t>
  </si>
  <si>
    <t>PLAN DE RESERVATIONS &amp; ENCOMBREMENTS                                      LEVEE REDUITE (LL-CE)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</si>
  <si>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</si>
  <si>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</si>
  <si>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</si>
  <si>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</si>
  <si>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</si>
  <si>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</si>
  <si>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</si>
  <si>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</si>
  <si>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</si>
  <si>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</si>
  <si>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</si>
  <si>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</si>
  <si>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</si>
  <si>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</si>
  <si>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</si>
  <si>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</si>
  <si>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</si>
  <si>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</si>
  <si>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</si>
  <si>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</si>
  <si>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</si>
  <si>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</si>
  <si>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</si>
  <si>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</si>
  <si>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</si>
  <si>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</si>
  <si>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</si>
  <si>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</si>
  <si>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</si>
  <si>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</si>
  <si>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</si>
  <si>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</si>
  <si>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</si>
  <si>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</si>
  <si>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</si>
  <si>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</si>
  <si>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</si>
  <si>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</si>
  <si>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</si>
  <si>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</si>
  <si>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</si>
  <si>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</si>
  <si>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</si>
  <si>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</si>
  <si>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</si>
  <si>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</si>
  <si>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</si>
  <si>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</si>
  <si>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</si>
  <si>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</si>
  <si>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</si>
  <si>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</si>
  <si>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</si>
  <si>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</si>
  <si>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</si>
  <si>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</si>
  <si>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</si>
  <si>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</si>
  <si>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</si>
  <si>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</si>
  <si>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</si>
  <si>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</si>
  <si>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</si>
  <si>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</si>
  <si>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</si>
  <si>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</si>
  <si>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</si>
  <si>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</si>
  <si>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</si>
  <si>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</si>
  <si>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</si>
  <si>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</si>
  <si>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</si>
  <si>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</si>
  <si>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</si>
  <si>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</si>
  <si>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</si>
  <si>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</si>
  <si>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</si>
  <si>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</si>
  <si>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</si>
  <si>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</si>
  <si>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</si>
  <si>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</si>
  <si>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</si>
  <si>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</si>
  <si>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</si>
  <si>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</si>
  <si>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</si>
  <si>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</si>
  <si>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</si>
  <si>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</si>
  <si>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</si>
  <si>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</si>
  <si>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</si>
  <si>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</si>
  <si>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</si>
  <si>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</si>
  <si>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</si>
  <si>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</si>
  <si>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</si>
  <si>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</si>
  <si>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</si>
  <si>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</si>
  <si>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</si>
  <si>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</si>
  <si>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</si>
  <si>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</si>
  <si>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</si>
  <si>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nezbytný boční prostor</t>
  </si>
  <si>
    <t xml:space="preserve">necessary side room </t>
  </si>
  <si>
    <t xml:space="preserve">Benötigter Freiraum </t>
  </si>
  <si>
    <t xml:space="preserve">niezbędna przestrzeń boczna </t>
  </si>
  <si>
    <t xml:space="preserve">écoinçon minimum requis </t>
  </si>
  <si>
    <t>Vajalik küljeruum</t>
  </si>
  <si>
    <t>tarvittava sivutila</t>
  </si>
  <si>
    <t>необходимое боковое пространство</t>
  </si>
  <si>
    <t>Strana bez motoru</t>
  </si>
  <si>
    <t>No motor/chain</t>
  </si>
  <si>
    <t>Seine ohne Antrieb</t>
  </si>
  <si>
    <t>Strona bez silnika</t>
  </si>
  <si>
    <t>Cote oppose au treuil a chaine</t>
  </si>
  <si>
    <t>ilma mootorita/talita</t>
  </si>
  <si>
    <t>Ei mootoria/ketjua</t>
  </si>
  <si>
    <t>сторона без мотора/цепи</t>
  </si>
  <si>
    <t>Vrata s motorem nebo řetězovým převodem musí obsahovat napínací set 688CR (pro zpětné stahování vrat), který se montuje vždy na pravo (nezáleží na umístění motoru)</t>
  </si>
  <si>
    <t>Motor- or hauling chain operated door must be equipped with tension set  688CR (for closing door), which is fitted always on right side (depends not where is motor/hauling chain)</t>
  </si>
  <si>
    <t>Tore mit Antrieb oder Hanspelkettenantrieb müssen Seilspannvorrichtung (für Zurückziehung) der ist immer rechts montiert (es ist nicht wichtig wo Antrieb montiert ist) enthalten.</t>
  </si>
  <si>
    <t>Brama z silnikiem lub z przekładnią łańcuchową musi zawierać zestaw naprężający 688CR (do zamykania bramy), który montowany jest zawsze po prawej stronie (niezależnie od umieszczenia silnika).</t>
  </si>
  <si>
    <t xml:space="preserve"> La porte motorisée avec transmission par chaîne doit contenir un set de tension  688CR (pour faciliter la manoeuvre de la porte), qui doit toujours etre  monté a droite (cela ne dépend pas de l'emplacement du moteur).</t>
  </si>
  <si>
    <t xml:space="preserve">Mootoriga või taliga avatav uks peab olema varustatud trossipingutuskomplektiga 688CR, mis paigaldatakse alati paremale poole </t>
  </si>
  <si>
    <t xml:space="preserve">Moottori- tai ketjukäyttöinen ovi on varustettava kiristyssarjalla 688CR (sulkeutuvalle ovelle) joka soveltu aina oikealle puolelle (riippumatta kummalla puolella on </t>
  </si>
  <si>
    <t>Система обратной тяги всегда располагается с правой стороны, вне зависимости от места нахождения электропривода/цепного редуктора. При ручном управлении не применяется.</t>
  </si>
  <si>
    <t>Úhel sklonu střechy</t>
  </si>
  <si>
    <t>Gradient of the roof</t>
  </si>
  <si>
    <t>Deckenwinkel</t>
  </si>
  <si>
    <t>PENTE DU TOIT</t>
  </si>
  <si>
    <t>Katusekalle</t>
  </si>
  <si>
    <t>Katon kaltevuus</t>
  </si>
  <si>
    <t>Оцинкованный профиль 80х40х2 мм (в комплекте) должен быть закреплен на потолке минимум в трех точках (2 точки для ворот менее 10м²)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</si>
  <si>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</si>
  <si>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</si>
  <si>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</si>
  <si>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</si>
  <si>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</si>
  <si>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Nelikanttoru kinnituskoht</t>
  </si>
  <si>
    <t>riiputuspiste holkille</t>
  </si>
  <si>
    <t>ТРОСЫ ВНУТРИ</t>
  </si>
  <si>
    <t>Jekl 80x40x2 (pozink) je součástí dodávky. Musí se pevně přikotvit ke stropu minimálně na 3 místech (u vrat do 10m2 stačí na 2 místech)</t>
  </si>
  <si>
    <t>Galvanized sleeve 80x40x2 is included. Sleeve must be attached to ceiling at minimum 3 points (2 points for door under 10 m2).</t>
  </si>
  <si>
    <t>Rechteckigerohre 80x40x2 (verzinkt) ist ein Lieferungsbestandteil. Er muss fest an die Decke in drei Punkten befestigt werden, (beim Torblatt bis 10 m2 reichen 2 Punkte).</t>
  </si>
  <si>
    <t>Profil zamknięty 80x40x2 (ocynkowany) stanowi część składową dostawy. Musi zostać mocno zamocowany do stropu. Minimalnie w trzech miejscach, (w wypadku bramy do 10 m2 wystarczy w dwóch miejscach)</t>
  </si>
  <si>
    <t xml:space="preserve">Le tube de 80x40x2 en acier galvanisé est compris dans la livraison. II doi bien entre fixé au plafond par au minimum 3 points de fixation (pour les portes jusqu a d 10 m2, 2 point the fixation suffisent). </t>
  </si>
  <si>
    <t>80x40x2 galvaniseeritud toru sisaldub tarnes. Toru kinnitatakse lakke minimaalselt kolmes kohas (2 kinnituskoha ustel alla 10m2)</t>
  </si>
  <si>
    <t>Galvanoitu holkki 80x40x2 sisältyy. Holkki on kiinnitetty kattoon vähintään 3sta pistestä (2 pistettä ovella alle 10 m2).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</si>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</sst>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Arial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24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4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0" xfId="0" applyFont="1" applyFill="1"/>
    <xf numFmtId="0" fontId="7" fillId="0" borderId="0" xfId="0" applyFont="1"/>
    <xf numFmtId="0" fontId="5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/>
    <xf numFmtId="0" fontId="6" fillId="3" borderId="0" xfId="1" applyFont="1" applyFill="1"/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/>
    <xf numFmtId="0" fontId="0" fillId="0" borderId="13" xfId="0" applyBorder="1"/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textRotation="90"/>
    </xf>
    <xf numFmtId="1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textRotation="90"/>
    </xf>
    <xf numFmtId="0" fontId="8" fillId="0" borderId="13" xfId="0" applyFont="1" applyBorder="1" applyAlignment="1">
      <alignment horizontal="left" vertical="center" textRotation="90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top" textRotation="90"/>
    </xf>
    <xf numFmtId="0" fontId="10" fillId="0" borderId="0" xfId="0" applyFont="1"/>
    <xf numFmtId="0" fontId="5" fillId="0" borderId="0" xfId="0" applyFont="1" applyAlignment="1">
      <alignment horizontal="left" vertical="center" indent="3"/>
    </xf>
    <xf numFmtId="0" fontId="8" fillId="0" borderId="0" xfId="0" applyFont="1" applyAlignment="1">
      <alignment textRotation="90"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/>
    <xf numFmtId="0" fontId="5" fillId="0" borderId="13" xfId="0" applyFont="1" applyBorder="1"/>
    <xf numFmtId="0" fontId="1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3" borderId="15" xfId="0" applyFill="1" applyBorder="1"/>
    <xf numFmtId="0" fontId="0" fillId="3" borderId="1" xfId="0" applyFill="1" applyBorder="1"/>
    <xf numFmtId="0" fontId="0" fillId="3" borderId="11" xfId="0" applyFill="1" applyBorder="1"/>
    <xf numFmtId="0" fontId="6" fillId="0" borderId="11" xfId="0" applyFont="1" applyBorder="1"/>
    <xf numFmtId="0" fontId="13" fillId="0" borderId="15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19" xfId="0" applyNumberFormat="1" applyBorder="1"/>
    <xf numFmtId="0" fontId="0" fillId="0" borderId="17" xfId="0" applyBorder="1" applyAlignment="1">
      <alignment horizontal="center"/>
    </xf>
    <xf numFmtId="0" fontId="13" fillId="0" borderId="15" xfId="0" applyFont="1" applyBorder="1"/>
    <xf numFmtId="0" fontId="0" fillId="6" borderId="14" xfId="0" applyFill="1" applyBorder="1"/>
    <xf numFmtId="0" fontId="15" fillId="6" borderId="15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4" xfId="0" applyFont="1" applyBorder="1"/>
    <xf numFmtId="0" fontId="17" fillId="0" borderId="15" xfId="0" applyFont="1" applyBorder="1"/>
    <xf numFmtId="0" fontId="0" fillId="0" borderId="16" xfId="0" applyBorder="1"/>
    <xf numFmtId="0" fontId="6" fillId="0" borderId="15" xfId="0" applyFont="1" applyBorder="1"/>
    <xf numFmtId="1" fontId="0" fillId="0" borderId="11" xfId="0" applyNumberFormat="1" applyBorder="1"/>
    <xf numFmtId="0" fontId="0" fillId="0" borderId="18" xfId="0" applyBorder="1"/>
    <xf numFmtId="0" fontId="18" fillId="7" borderId="15" xfId="0" applyFont="1" applyFill="1" applyBorder="1"/>
    <xf numFmtId="0" fontId="6" fillId="0" borderId="1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1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8" borderId="0" xfId="0" applyFill="1"/>
    <xf numFmtId="0" fontId="0" fillId="0" borderId="6" xfId="0" applyBorder="1"/>
    <xf numFmtId="0" fontId="10" fillId="0" borderId="13" xfId="0" applyFont="1" applyBorder="1" applyAlignment="1">
      <alignment vertical="center" textRotation="90"/>
    </xf>
    <xf numFmtId="0" fontId="10" fillId="0" borderId="13" xfId="0" applyFont="1" applyBorder="1" applyAlignment="1">
      <alignment textRotation="90"/>
    </xf>
    <xf numFmtId="0" fontId="9" fillId="0" borderId="13" xfId="0" applyFont="1" applyBorder="1"/>
    <xf numFmtId="0" fontId="9" fillId="0" borderId="4" xfId="0" applyFont="1" applyBorder="1"/>
    <xf numFmtId="0" fontId="8" fillId="0" borderId="13" xfId="0" applyFont="1" applyBorder="1" applyAlignment="1">
      <alignment vertical="center" textRotation="90"/>
    </xf>
    <xf numFmtId="0" fontId="8" fillId="0" borderId="13" xfId="0" applyFont="1" applyBorder="1" applyAlignment="1">
      <alignment textRotation="90"/>
    </xf>
    <xf numFmtId="0" fontId="0" fillId="6" borderId="15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textRotation="9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8" fillId="0" borderId="13" xfId="0" applyFont="1" applyBorder="1" applyAlignment="1">
      <alignment horizontal="right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horizontal="left" vertical="top" textRotation="90"/>
    </xf>
    <xf numFmtId="0" fontId="8" fillId="0" borderId="13" xfId="0" applyFont="1" applyBorder="1" applyAlignment="1">
      <alignment horizontal="center" vertical="top" textRotation="90"/>
    </xf>
    <xf numFmtId="0" fontId="8" fillId="0" borderId="0" xfId="0" applyFont="1" applyAlignment="1">
      <alignment horizontal="left" textRotation="9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vertical="center"/>
      <protection locked="0"/>
    </xf>
  </cellXfs>
  <cellStyles count="2">
    <cellStyle name="normální_List1" xfId="1" xr:uid="{00000000-0005-0000-0000-000001000000}"/>
    <cellStyle name="Standard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11</xdr:row>
      <xdr:rowOff>213360</xdr:rowOff>
    </xdr:from>
    <xdr:to>
      <xdr:col>8</xdr:col>
      <xdr:colOff>243840</xdr:colOff>
      <xdr:row>31</xdr:row>
      <xdr:rowOff>190500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2750820"/>
          <a:ext cx="4541520" cy="473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289560</xdr:colOff>
      <xdr:row>9</xdr:row>
      <xdr:rowOff>106680</xdr:rowOff>
    </xdr:from>
    <xdr:to>
      <xdr:col>19</xdr:col>
      <xdr:colOff>160020</xdr:colOff>
      <xdr:row>32</xdr:row>
      <xdr:rowOff>190500</xdr:rowOff>
    </xdr:to>
    <xdr:pic>
      <xdr:nvPicPr>
        <xdr:cNvPr id="3" name="Picture 39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2217420"/>
          <a:ext cx="5242560" cy="547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36</xdr:row>
      <xdr:rowOff>144780</xdr:rowOff>
    </xdr:from>
    <xdr:to>
      <xdr:col>7</xdr:col>
      <xdr:colOff>464820</xdr:colOff>
      <xdr:row>42</xdr:row>
      <xdr:rowOff>167640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8389620"/>
          <a:ext cx="412242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365760</xdr:colOff>
      <xdr:row>44</xdr:row>
      <xdr:rowOff>160020</xdr:rowOff>
    </xdr:from>
    <xdr:to>
      <xdr:col>16</xdr:col>
      <xdr:colOff>449580</xdr:colOff>
      <xdr:row>48</xdr:row>
      <xdr:rowOff>45720</xdr:rowOff>
    </xdr:to>
    <xdr:pic>
      <xdr:nvPicPr>
        <xdr:cNvPr id="5" name="Picture 30" descr="part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0020300"/>
          <a:ext cx="8077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266700</xdr:colOff>
      <xdr:row>44</xdr:row>
      <xdr:rowOff>152400</xdr:rowOff>
    </xdr:from>
    <xdr:to>
      <xdr:col>22</xdr:col>
      <xdr:colOff>548640</xdr:colOff>
      <xdr:row>46</xdr:row>
      <xdr:rowOff>83820</xdr:rowOff>
    </xdr:to>
    <xdr:pic>
      <xdr:nvPicPr>
        <xdr:cNvPr id="6" name="Picture 31" descr="part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947"/>
        <a:stretch>
          <a:fillRect/>
        </a:stretch>
      </xdr:blipFill>
      <xdr:spPr bwMode="auto">
        <a:xfrm>
          <a:off x="14813280" y="10012680"/>
          <a:ext cx="8915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137160</xdr:colOff>
      <xdr:row>22</xdr:row>
      <xdr:rowOff>167640</xdr:rowOff>
    </xdr:from>
    <xdr:to>
      <xdr:col>8</xdr:col>
      <xdr:colOff>213360</xdr:colOff>
      <xdr:row>24</xdr:row>
      <xdr:rowOff>121920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274820" y="5501640"/>
          <a:ext cx="685800" cy="350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144780</xdr:colOff>
      <xdr:row>24</xdr:row>
      <xdr:rowOff>152400</xdr:rowOff>
    </xdr:from>
    <xdr:to>
      <xdr:col>8</xdr:col>
      <xdr:colOff>266700</xdr:colOff>
      <xdr:row>27</xdr:row>
      <xdr:rowOff>121920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282440" y="5882640"/>
          <a:ext cx="73152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106680</xdr:colOff>
      <xdr:row>21</xdr:row>
      <xdr:rowOff>53340</xdr:rowOff>
    </xdr:from>
    <xdr:to>
      <xdr:col>8</xdr:col>
      <xdr:colOff>205740</xdr:colOff>
      <xdr:row>22</xdr:row>
      <xdr:rowOff>99060</xdr:rowOff>
    </xdr:to>
    <xdr:sp macro="" textlink="">
      <xdr:nvSpPr>
        <xdr:cNvPr id="9" name="Line 2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4244340" y="5189220"/>
          <a:ext cx="708660" cy="243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20</xdr:row>
      <xdr:rowOff>198120</xdr:rowOff>
    </xdr:from>
    <xdr:to>
      <xdr:col>8</xdr:col>
      <xdr:colOff>213360</xdr:colOff>
      <xdr:row>21</xdr:row>
      <xdr:rowOff>152400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4213860" y="4648200"/>
          <a:ext cx="74676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15</xdr:row>
      <xdr:rowOff>182880</xdr:rowOff>
    </xdr:from>
    <xdr:to>
      <xdr:col>11</xdr:col>
      <xdr:colOff>373380</xdr:colOff>
      <xdr:row>20</xdr:row>
      <xdr:rowOff>0</xdr:rowOff>
    </xdr:to>
    <xdr:sp macro="" textlink="">
      <xdr:nvSpPr>
        <xdr:cNvPr id="11" name="Line 26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7604760" y="3505200"/>
          <a:ext cx="617220" cy="944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114300</xdr:colOff>
      <xdr:row>63</xdr:row>
      <xdr:rowOff>182880</xdr:rowOff>
    </xdr:from>
    <xdr:to>
      <xdr:col>20</xdr:col>
      <xdr:colOff>0</xdr:colOff>
      <xdr:row>69</xdr:row>
      <xdr:rowOff>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" t="7500" r="5833" b="7500"/>
        <a:stretch>
          <a:fillRect/>
        </a:stretch>
      </xdr:blipFill>
      <xdr:spPr bwMode="auto">
        <a:xfrm>
          <a:off x="12725400" y="13731240"/>
          <a:ext cx="110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160020</xdr:colOff>
      <xdr:row>38</xdr:row>
      <xdr:rowOff>137160</xdr:rowOff>
    </xdr:from>
    <xdr:to>
      <xdr:col>11</xdr:col>
      <xdr:colOff>327660</xdr:colOff>
      <xdr:row>48</xdr:row>
      <xdr:rowOff>137160</xdr:rowOff>
    </xdr:to>
    <xdr:grpSp>
      <xdr:nvGrpSpPr>
        <xdr:cNvPr id="13" name="Skupina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5943056" y="9036231"/>
          <a:ext cx="2127068" cy="2027465"/>
          <a:chOff x="5595714" y="8462506"/>
          <a:chExt cx="2207432" cy="2483472"/>
        </a:xfrm>
      </xdr:grpSpPr>
      <xdr:pic>
        <xdr:nvPicPr>
          <xdr:cNvPr id="14" name="Obrázek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TextovéPo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935664" y="8462506"/>
            <a:ext cx="867482" cy="7604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6" name="Obrázek 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384266</xdr:colOff>
      <xdr:row>4</xdr:row>
      <xdr:rowOff>150223</xdr:rowOff>
    </xdr:from>
    <xdr:to>
      <xdr:col>26</xdr:col>
      <xdr:colOff>764177</xdr:colOff>
      <xdr:row>19</xdr:row>
      <xdr:rowOff>92529</xdr:rowOff>
    </xdr:to>
    <xdr:grpSp>
      <xdr:nvGrpSpPr>
        <xdr:cNvPr id="17" name="Skupina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13419909" y="1048294"/>
          <a:ext cx="5033554" cy="3248842"/>
          <a:chOff x="13752739" y="1069521"/>
          <a:chExt cx="5064579" cy="3299733"/>
        </a:xfrm>
      </xdr:grpSpPr>
      <xdr:pic>
        <xdr:nvPicPr>
          <xdr:cNvPr id="18" name="Picture 23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52739" y="1069521"/>
            <a:ext cx="5064579" cy="329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9" name="Skupina 1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>
            <a:grpSpLocks/>
          </xdr:cNvGrpSpPr>
        </xdr:nvGrpSpPr>
        <xdr:grpSpPr bwMode="auto">
          <a:xfrm>
            <a:off x="15825655" y="3483580"/>
            <a:ext cx="885427" cy="721083"/>
            <a:chOff x="15898639" y="3944659"/>
            <a:chExt cx="854839" cy="683859"/>
          </a:xfrm>
        </xdr:grpSpPr>
        <xdr:sp macro="" textlink="">
          <xdr:nvSpPr>
            <xdr:cNvPr id="20" name="Ovál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15898639" y="3989259"/>
              <a:ext cx="615784" cy="639259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1" name="TextovéPol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6499761" y="3944659"/>
              <a:ext cx="253717" cy="2580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16</xdr:col>
      <xdr:colOff>259838</xdr:colOff>
      <xdr:row>12</xdr:row>
      <xdr:rowOff>152240</xdr:rowOff>
    </xdr:from>
    <xdr:to>
      <xdr:col>17</xdr:col>
      <xdr:colOff>413937</xdr:colOff>
      <xdr:row>14</xdr:row>
      <xdr:rowOff>108279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514578" y="2918300"/>
          <a:ext cx="763699" cy="329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Y2=</a:t>
          </a:r>
        </a:p>
      </xdr:txBody>
    </xdr:sp>
    <xdr:clientData/>
  </xdr:twoCellAnchor>
  <xdr:twoCellAnchor>
    <xdr:from>
      <xdr:col>7</xdr:col>
      <xdr:colOff>349199</xdr:colOff>
      <xdr:row>30</xdr:row>
      <xdr:rowOff>12654</xdr:rowOff>
    </xdr:from>
    <xdr:to>
      <xdr:col>8</xdr:col>
      <xdr:colOff>515314</xdr:colOff>
      <xdr:row>31</xdr:row>
      <xdr:rowOff>151400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86859" y="7099254"/>
          <a:ext cx="775715" cy="352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</xdr:col>
      <xdr:colOff>96613</xdr:colOff>
      <xdr:row>30</xdr:row>
      <xdr:rowOff>11571</xdr:rowOff>
    </xdr:from>
    <xdr:to>
      <xdr:col>2</xdr:col>
      <xdr:colOff>243151</xdr:colOff>
      <xdr:row>31</xdr:row>
      <xdr:rowOff>150317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9493" y="7098171"/>
          <a:ext cx="756138" cy="352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3</xdr:col>
      <xdr:colOff>246848</xdr:colOff>
      <xdr:row>40</xdr:row>
      <xdr:rowOff>173496</xdr:rowOff>
    </xdr:from>
    <xdr:to>
      <xdr:col>4</xdr:col>
      <xdr:colOff>523272</xdr:colOff>
      <xdr:row>42</xdr:row>
      <xdr:rowOff>112217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68028" y="9241296"/>
          <a:ext cx="764104" cy="334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 b="1"/>
            <a:t>L+W+R=</a:t>
          </a:r>
        </a:p>
      </xdr:txBody>
    </xdr:sp>
    <xdr:clientData/>
  </xdr:twoCellAnchor>
  <xdr:twoCellAnchor editAs="oneCell">
    <xdr:from>
      <xdr:col>21</xdr:col>
      <xdr:colOff>381000</xdr:colOff>
      <xdr:row>21</xdr:row>
      <xdr:rowOff>7620</xdr:rowOff>
    </xdr:from>
    <xdr:to>
      <xdr:col>23</xdr:col>
      <xdr:colOff>480060</xdr:colOff>
      <xdr:row>36</xdr:row>
      <xdr:rowOff>91440</xdr:rowOff>
    </xdr:to>
    <xdr:pic>
      <xdr:nvPicPr>
        <xdr:cNvPr id="26" name="Picture 204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7580" y="5143500"/>
          <a:ext cx="1440180" cy="319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0</xdr:rowOff>
        </xdr:from>
        <xdr:to>
          <xdr:col>30</xdr:col>
          <xdr:colOff>0</xdr:colOff>
          <xdr:row>114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152400</xdr:rowOff>
    </xdr:from>
    <xdr:to>
      <xdr:col>6</xdr:col>
      <xdr:colOff>45720</xdr:colOff>
      <xdr:row>37</xdr:row>
      <xdr:rowOff>38100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5592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</xdr:colOff>
      <xdr:row>3</xdr:row>
      <xdr:rowOff>38100</xdr:rowOff>
    </xdr:from>
    <xdr:to>
      <xdr:col>8</xdr:col>
      <xdr:colOff>160020</xdr:colOff>
      <xdr:row>27</xdr:row>
      <xdr:rowOff>129540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86740"/>
          <a:ext cx="4244340" cy="448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285750</xdr:colOff>
      <xdr:row>25</xdr:row>
      <xdr:rowOff>154305</xdr:rowOff>
    </xdr:from>
    <xdr:ext cx="400174" cy="254557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724150" y="4726305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twoCellAnchor editAs="oneCell">
    <xdr:from>
      <xdr:col>6</xdr:col>
      <xdr:colOff>68580</xdr:colOff>
      <xdr:row>18</xdr:row>
      <xdr:rowOff>129540</xdr:rowOff>
    </xdr:from>
    <xdr:to>
      <xdr:col>8</xdr:col>
      <xdr:colOff>30480</xdr:colOff>
      <xdr:row>22</xdr:row>
      <xdr:rowOff>137160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" y="3421380"/>
          <a:ext cx="11811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152400</xdr:rowOff>
    </xdr:from>
    <xdr:to>
      <xdr:col>6</xdr:col>
      <xdr:colOff>45720</xdr:colOff>
      <xdr:row>37</xdr:row>
      <xdr:rowOff>38100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5592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</xdr:colOff>
      <xdr:row>3</xdr:row>
      <xdr:rowOff>91440</xdr:rowOff>
    </xdr:from>
    <xdr:to>
      <xdr:col>8</xdr:col>
      <xdr:colOff>160020</xdr:colOff>
      <xdr:row>28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640080"/>
          <a:ext cx="4244340" cy="448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285750</xdr:colOff>
      <xdr:row>25</xdr:row>
      <xdr:rowOff>154305</xdr:rowOff>
    </xdr:from>
    <xdr:ext cx="400174" cy="254557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24150" y="4726305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twoCellAnchor editAs="oneCell">
    <xdr:from>
      <xdr:col>6</xdr:col>
      <xdr:colOff>38100</xdr:colOff>
      <xdr:row>18</xdr:row>
      <xdr:rowOff>129540</xdr:rowOff>
    </xdr:from>
    <xdr:to>
      <xdr:col>8</xdr:col>
      <xdr:colOff>0</xdr:colOff>
      <xdr:row>22</xdr:row>
      <xdr:rowOff>137160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421380"/>
          <a:ext cx="11811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L460"/>
  <sheetViews>
    <sheetView showGridLines="0" tabSelected="1" zoomScale="70" zoomScaleNormal="70" zoomScaleSheetLayoutView="40" workbookViewId="0">
      <selection activeCell="K3" sqref="K3"/>
    </sheetView>
  </sheetViews>
  <sheetFormatPr baseColWidth="10" defaultColWidth="9.140625"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1" max="11" width="9.140625" customWidth="1"/>
    <col min="13" max="13" width="3.42578125" customWidth="1"/>
    <col min="14" max="14" width="15.7109375" customWidth="1"/>
    <col min="15" max="15" width="11.140625" customWidth="1"/>
    <col min="16" max="16" width="10.5703125" customWidth="1"/>
    <col min="18" max="18" width="10.85546875" bestFit="1" customWidth="1"/>
    <col min="21" max="21" width="10.42578125" customWidth="1"/>
    <col min="23" max="23" width="10.710937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44.285156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65" hidden="1" customWidth="1"/>
    <col min="39" max="39" width="60" hidden="1" customWidth="1"/>
    <col min="40" max="52" width="9.140625" hidden="1" customWidth="1"/>
    <col min="53" max="86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s="4" t="s">
        <v>8</v>
      </c>
      <c r="AO1" s="4" t="s">
        <v>9</v>
      </c>
      <c r="AP1" s="4" t="s">
        <v>10</v>
      </c>
    </row>
    <row r="2" spans="1:42" ht="15.75" customHeight="1" thickBot="1" x14ac:dyDescent="0.3">
      <c r="A2" s="5"/>
      <c r="M2" s="6"/>
      <c r="N2" s="6"/>
      <c r="O2" s="6"/>
      <c r="P2" s="6"/>
      <c r="Q2" s="151" t="str">
        <f>VLOOKUP(AG13,AG2:AR96,$AE$1+1,FALSE)</f>
        <v>NIEDRIGSTURZ BESCHLAG (LL-CE)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D2" s="7" t="s">
        <v>11</v>
      </c>
      <c r="AE2" s="8" t="s">
        <v>12</v>
      </c>
      <c r="AF2" s="9"/>
      <c r="AG2" t="str">
        <f>VLOOKUP(AH2,AH2:AR96,$AE$1,FALSE)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19.5" customHeight="1" thickBot="1" x14ac:dyDescent="0.35">
      <c r="A3" s="5"/>
      <c r="B3" s="10" t="s">
        <v>22</v>
      </c>
      <c r="C3" s="10"/>
      <c r="H3" s="11" t="str">
        <f>VLOOKUP(AG3,AG2:AR96,$AE$1+1,FALSE)</f>
        <v>Lichte Breite</v>
      </c>
      <c r="I3" s="11"/>
      <c r="K3" s="12"/>
      <c r="L3" t="s">
        <v>23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4"/>
      <c r="AD3" s="13" t="s">
        <v>2</v>
      </c>
      <c r="AE3" s="14">
        <v>1</v>
      </c>
      <c r="AF3" s="4"/>
      <c r="AG3" t="str">
        <f>VLOOKUP(AH3,AH3:AR96,$AE$1,FALSE)</f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42" ht="19.5" thickBot="1" x14ac:dyDescent="0.35">
      <c r="A4" s="5"/>
      <c r="B4" s="10" t="s">
        <v>14</v>
      </c>
      <c r="C4" s="10"/>
      <c r="H4" s="11"/>
      <c r="I4" s="11"/>
      <c r="J4" s="4"/>
      <c r="X4" s="155" t="s">
        <v>33</v>
      </c>
      <c r="Y4" s="155"/>
      <c r="Z4" s="155"/>
      <c r="AA4" s="155"/>
      <c r="AB4" s="156"/>
      <c r="AD4" s="13" t="s">
        <v>3</v>
      </c>
      <c r="AE4" s="14">
        <v>2</v>
      </c>
      <c r="AF4" s="4"/>
      <c r="AG4" t="str">
        <f>VLOOKUP(AH4,AH4:AR97,$AE$1,FALSE)</f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5"/>
      <c r="B5" s="15" t="s">
        <v>43</v>
      </c>
      <c r="C5" s="10"/>
      <c r="E5" s="12" t="s">
        <v>4</v>
      </c>
      <c r="H5" s="11" t="str">
        <f>VLOOKUP(AG4,AG2:AR96,$AE$1+1,FALSE)</f>
        <v>Lichte Höhe</v>
      </c>
      <c r="I5" s="11"/>
      <c r="K5" s="12"/>
      <c r="L5" t="s">
        <v>23</v>
      </c>
      <c r="O5" s="16" t="str">
        <f>VLOOKUP(AH99,AH99:AR175,$AE$1,FALSE)</f>
        <v>Fülen Sie bitte markierte Felder!</v>
      </c>
      <c r="X5" s="17"/>
      <c r="Y5" s="17"/>
      <c r="Z5" s="17"/>
      <c r="AB5" s="5"/>
      <c r="AD5" s="13" t="s">
        <v>4</v>
      </c>
      <c r="AE5" s="14">
        <v>3</v>
      </c>
      <c r="AF5" s="4"/>
      <c r="AG5" t="str">
        <f>VLOOKUP(AH5,AH5:AR96,$AE$1,FALSE)</f>
        <v>INNENANSICHT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5"/>
      <c r="B6" s="15" t="s">
        <v>53</v>
      </c>
      <c r="C6" s="10"/>
      <c r="J6" s="4"/>
      <c r="X6" s="17"/>
      <c r="Y6" s="17"/>
      <c r="Z6" s="17"/>
      <c r="AB6" s="5"/>
      <c r="AD6" s="13" t="s">
        <v>5</v>
      </c>
      <c r="AE6" s="14">
        <v>4</v>
      </c>
      <c r="AF6" s="4"/>
      <c r="AG6" t="str">
        <f>VLOOKUP(AH6,AH6:AR100,$AE$1,FALSE)</f>
        <v>DURCHSCHNITT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5"/>
      <c r="B7" s="15" t="s">
        <v>63</v>
      </c>
      <c r="C7" s="10"/>
      <c r="H7" s="11" t="str">
        <f>VLOOKUP(AG101,AG8:AR101,$AE$1+1,FALSE)</f>
        <v>Bedienung</v>
      </c>
      <c r="K7" s="157"/>
      <c r="L7" s="157"/>
      <c r="M7" s="157"/>
      <c r="O7" s="11" t="str">
        <f>IF(OR(K7=AG102,K7=""),"",VLOOKUP(AG106,AG8:AR106,$AE$1+1,FALSE))</f>
        <v/>
      </c>
      <c r="P7" s="11"/>
      <c r="R7" s="157"/>
      <c r="S7" s="157"/>
      <c r="X7" s="17"/>
      <c r="Y7" s="17"/>
      <c r="Z7" s="17"/>
      <c r="AB7" s="5"/>
      <c r="AD7" s="13" t="s">
        <v>6</v>
      </c>
      <c r="AE7" s="18">
        <v>5</v>
      </c>
      <c r="AF7" s="4"/>
      <c r="AG7" t="str">
        <f>VLOOKUP(AH7,AH7:AR100,$AE$1,FALSE)</f>
        <v>DURCHSCHNITT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19"/>
      <c r="B8" s="20" t="s">
        <v>18</v>
      </c>
      <c r="C8" s="15"/>
      <c r="D8" s="16"/>
      <c r="E8" s="16"/>
      <c r="F8" s="16"/>
      <c r="G8" s="21"/>
      <c r="X8" s="17"/>
      <c r="Y8" s="17"/>
      <c r="Z8" s="17"/>
      <c r="AB8" s="5"/>
      <c r="AD8" s="13" t="s">
        <v>7</v>
      </c>
      <c r="AE8" s="18">
        <v>6</v>
      </c>
      <c r="AG8" t="str">
        <f>VLOOKUP(AH8,AH8:AR101,$AE$1,FALSE)</f>
        <v>ACHTUNG: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19"/>
      <c r="B9" s="15" t="s">
        <v>19</v>
      </c>
      <c r="C9" s="15"/>
      <c r="D9" s="16"/>
      <c r="E9" s="16"/>
      <c r="F9" s="16"/>
      <c r="G9" s="21"/>
      <c r="H9" s="11" t="str">
        <f>AG119</f>
        <v>Paneel-Typ</v>
      </c>
      <c r="K9" s="158"/>
      <c r="L9" s="158"/>
      <c r="M9" s="158"/>
      <c r="Q9" s="11" t="str">
        <f>VLOOKUP($AG$6,$AG$2:$AR$96,$AE$1+1,FALSE)</f>
        <v>DURCHSCHNITT A-A</v>
      </c>
      <c r="X9" s="17"/>
      <c r="Y9" s="17"/>
      <c r="Z9" s="17"/>
      <c r="AB9" s="5"/>
      <c r="AD9" s="13" t="s">
        <v>8</v>
      </c>
      <c r="AE9" s="18">
        <v>7</v>
      </c>
    </row>
    <row r="10" spans="1:42" ht="15.75" thickBot="1" x14ac:dyDescent="0.3">
      <c r="A10" s="19"/>
      <c r="B10" s="15" t="s">
        <v>20</v>
      </c>
      <c r="C10" s="15"/>
      <c r="N10" s="22" t="s">
        <v>82</v>
      </c>
      <c r="O10" s="23" t="str">
        <f>L59</f>
        <v/>
      </c>
      <c r="T10" s="24"/>
      <c r="AB10" s="5"/>
      <c r="AD10" s="13" t="s">
        <v>9</v>
      </c>
      <c r="AE10" s="18">
        <v>8</v>
      </c>
    </row>
    <row r="11" spans="1:42" ht="19.5" thickBot="1" x14ac:dyDescent="0.35">
      <c r="A11" s="19"/>
      <c r="B11" s="15" t="s">
        <v>21</v>
      </c>
      <c r="C11" s="15"/>
      <c r="H11" s="11"/>
      <c r="K11" s="4"/>
      <c r="L11" s="4"/>
      <c r="M11" s="4"/>
      <c r="N11" s="25"/>
      <c r="O11" s="26" t="str">
        <f>"S= "&amp;P64</f>
        <v xml:space="preserve">S= </v>
      </c>
      <c r="P11" s="11"/>
      <c r="R11" s="4"/>
      <c r="S11" s="4"/>
      <c r="T11" s="24"/>
      <c r="AB11" s="5"/>
      <c r="AD11" s="13" t="s">
        <v>10</v>
      </c>
      <c r="AE11" s="18">
        <v>9</v>
      </c>
    </row>
    <row r="12" spans="1:42" ht="18.75" x14ac:dyDescent="0.3">
      <c r="B12" s="27"/>
      <c r="D12" s="159" t="str">
        <f>VLOOKUP(AG5,AG2:AR96,$AE$1+1,FALSE)</f>
        <v>INNENANSICHT</v>
      </c>
      <c r="E12" s="159"/>
      <c r="F12" s="159"/>
      <c r="H12" s="28"/>
      <c r="K12" s="26"/>
      <c r="L12" s="26"/>
      <c r="M12" s="26"/>
      <c r="N12" s="26"/>
      <c r="O12" s="26" t="str">
        <f>"X= "&amp;K5</f>
        <v xml:space="preserve">X= </v>
      </c>
      <c r="P12" s="26"/>
      <c r="Q12" s="26"/>
      <c r="R12" s="26"/>
      <c r="S12" s="26"/>
      <c r="T12" s="24"/>
      <c r="AB12" s="5"/>
    </row>
    <row r="13" spans="1:42" x14ac:dyDescent="0.25">
      <c r="B13" s="29"/>
      <c r="C13" s="28"/>
      <c r="F13" s="30"/>
      <c r="G13" s="28"/>
      <c r="H13" s="28"/>
      <c r="L13" s="26"/>
      <c r="M13" s="26"/>
      <c r="N13" s="26"/>
      <c r="P13" s="22" t="s">
        <v>83</v>
      </c>
      <c r="Q13" s="31">
        <f>IF(O10&lt;3000,0,IF(AND(O10&gt;=3000,O10&lt;4500),K5/2,IF(O10&gt;=4500,((K5/3)*2),0)))</f>
        <v>0</v>
      </c>
      <c r="R13" s="26"/>
      <c r="S13" s="145"/>
      <c r="AB13" s="5"/>
      <c r="AG13" t="str">
        <f>VLOOKUP(AH13,AH13:AR105,$AE$1,FALSE)</f>
        <v>NIEDRIGSTURZ BESCHLAG (LL-CE)</v>
      </c>
      <c r="AH13" t="s">
        <v>84</v>
      </c>
      <c r="AI13" t="s">
        <v>85</v>
      </c>
      <c r="AJ13" t="s">
        <v>86</v>
      </c>
      <c r="AK13" t="s">
        <v>87</v>
      </c>
      <c r="AL13" t="s">
        <v>88</v>
      </c>
      <c r="AM13" t="s">
        <v>89</v>
      </c>
      <c r="AN13" t="s">
        <v>90</v>
      </c>
      <c r="AO13" t="s">
        <v>91</v>
      </c>
      <c r="AP13" t="s">
        <v>92</v>
      </c>
    </row>
    <row r="14" spans="1:42" ht="15" customHeight="1" x14ac:dyDescent="0.25">
      <c r="B14" s="27"/>
      <c r="Q14" s="22"/>
      <c r="R14" s="31">
        <f>IF(O10&gt;=4500,K5/3,0)</f>
        <v>0</v>
      </c>
      <c r="S14" s="145"/>
      <c r="AB14" s="5"/>
      <c r="AG14" t="str">
        <f>VLOOKUP(AH14,AH14:AR106,$AE$1,FALSE)</f>
        <v>Federn oberhalb des Sturzes</v>
      </c>
      <c r="AH14" t="s">
        <v>93</v>
      </c>
      <c r="AI14" t="s">
        <v>94</v>
      </c>
      <c r="AJ14" t="s">
        <v>95</v>
      </c>
      <c r="AK14" t="s">
        <v>96</v>
      </c>
      <c r="AL14" t="s">
        <v>97</v>
      </c>
      <c r="AM14" t="s">
        <v>98</v>
      </c>
      <c r="AN14" t="s">
        <v>99</v>
      </c>
      <c r="AO14" t="s">
        <v>100</v>
      </c>
      <c r="AP14" t="s">
        <v>101</v>
      </c>
    </row>
    <row r="15" spans="1:42" x14ac:dyDescent="0.25">
      <c r="B15" s="27"/>
      <c r="P15" s="33"/>
      <c r="Q15" s="33"/>
      <c r="R15" s="33"/>
      <c r="S15" s="145"/>
      <c r="T15" s="146" t="str">
        <f>"F= "&amp;$P$58</f>
        <v>F= 230</v>
      </c>
      <c r="AB15" s="5"/>
      <c r="AG15" t="str">
        <f>VLOOKUP(AH15,AH15:AR107,$AE$1,FALSE)</f>
        <v>pro HL&gt;600 und HL&lt;=1200</v>
      </c>
      <c r="AH15" t="s">
        <v>102</v>
      </c>
      <c r="AI15" t="s">
        <v>103</v>
      </c>
      <c r="AJ15" t="s">
        <v>104</v>
      </c>
      <c r="AK15" t="s">
        <v>105</v>
      </c>
      <c r="AL15" t="s">
        <v>106</v>
      </c>
      <c r="AM15" t="s">
        <v>107</v>
      </c>
      <c r="AN15" t="s">
        <v>108</v>
      </c>
      <c r="AO15" t="s">
        <v>109</v>
      </c>
      <c r="AP15" t="s">
        <v>110</v>
      </c>
    </row>
    <row r="16" spans="1:42" ht="15" customHeight="1" x14ac:dyDescent="0.25">
      <c r="B16" s="147" t="str">
        <f>"F= "&amp;IF(K3="","",P58)</f>
        <v xml:space="preserve">F= </v>
      </c>
      <c r="C16" s="148"/>
      <c r="I16" s="34"/>
      <c r="T16" s="146"/>
      <c r="U16" s="25"/>
      <c r="AB16" s="5"/>
      <c r="AG16" t="str">
        <f>VLOOKUP(AH16,AH16:AR108,$AE$1,FALSE)</f>
        <v>Paneel 40 mm</v>
      </c>
      <c r="AH16" t="s">
        <v>111</v>
      </c>
      <c r="AI16" t="s">
        <v>112</v>
      </c>
      <c r="AJ16" t="s">
        <v>113</v>
      </c>
      <c r="AK16" t="s">
        <v>114</v>
      </c>
      <c r="AL16" t="s">
        <v>115</v>
      </c>
      <c r="AM16" t="s">
        <v>116</v>
      </c>
      <c r="AN16" t="s">
        <v>113</v>
      </c>
      <c r="AO16" t="s">
        <v>117</v>
      </c>
      <c r="AP16" t="s">
        <v>118</v>
      </c>
    </row>
    <row r="17" spans="1:56" ht="15" customHeight="1" x14ac:dyDescent="0.25">
      <c r="B17" s="147"/>
      <c r="C17" s="148"/>
      <c r="H17" s="34"/>
      <c r="I17" s="34"/>
      <c r="T17" s="146"/>
      <c r="U17" s="25"/>
      <c r="AB17" s="5"/>
      <c r="AG17" t="str">
        <f>VLOOKUP(AH17,AH17:AR109,$AE$1,FALSE)</f>
        <v>Max. W x H 5000x5000, max. 24 m2 (300 kg)</v>
      </c>
      <c r="AH17" t="s">
        <v>119</v>
      </c>
      <c r="AI17" t="s">
        <v>119</v>
      </c>
      <c r="AJ17" t="s">
        <v>119</v>
      </c>
      <c r="AK17" t="s">
        <v>119</v>
      </c>
      <c r="AL17" t="s">
        <v>119</v>
      </c>
      <c r="AM17" t="s">
        <v>120</v>
      </c>
      <c r="AN17" t="s">
        <v>119</v>
      </c>
      <c r="AO17" t="s">
        <v>119</v>
      </c>
      <c r="AP17" t="s">
        <v>121</v>
      </c>
    </row>
    <row r="18" spans="1:56" ht="15" customHeight="1" x14ac:dyDescent="0.25">
      <c r="B18" s="147"/>
      <c r="C18" s="148"/>
      <c r="H18" s="149"/>
      <c r="I18" s="149"/>
      <c r="T18" s="145"/>
      <c r="U18" s="25"/>
      <c r="AB18" s="5"/>
    </row>
    <row r="19" spans="1:56" ht="15" customHeight="1" x14ac:dyDescent="0.25">
      <c r="B19" s="147"/>
      <c r="H19" s="149"/>
      <c r="I19" s="149"/>
      <c r="T19" s="145"/>
      <c r="U19" s="25"/>
      <c r="AB19" s="5"/>
    </row>
    <row r="20" spans="1:56" ht="29.25" customHeight="1" x14ac:dyDescent="0.25">
      <c r="A20" t="s">
        <v>122</v>
      </c>
      <c r="B20" s="147"/>
      <c r="C20" s="140"/>
      <c r="S20" s="35"/>
      <c r="T20" s="145"/>
      <c r="U20" s="25"/>
      <c r="AB20" s="5"/>
    </row>
    <row r="21" spans="1:56" ht="54" customHeight="1" x14ac:dyDescent="0.25">
      <c r="B21" s="36"/>
      <c r="C21" s="140"/>
      <c r="H21" s="35"/>
      <c r="I21" s="37"/>
      <c r="J21" s="150" t="str">
        <f>AG118</f>
        <v>Rechteckigerohre 80x40x2 (verzinkt) ist ein Lieferungsbestandteil. Er muss fest an die Decke in drei Punkten befestigt werden, (beim Torblatt bis 10 m2 reichen 2 Punkte).</v>
      </c>
      <c r="K21" s="150"/>
      <c r="L21" s="150"/>
      <c r="M21" s="150"/>
      <c r="N21" s="150"/>
      <c r="S21" s="35"/>
      <c r="T21" s="140" t="str">
        <f>"H= "&amp;K5</f>
        <v xml:space="preserve">H= </v>
      </c>
      <c r="U21" s="38"/>
      <c r="AB21" s="5"/>
      <c r="AG21" t="str">
        <f>VLOOKUP(AH21,AH21:AR113,$AE$1,FALSE)</f>
        <v>Montage auf Mauerwerk und Ziegel</v>
      </c>
      <c r="AH21" t="s">
        <v>123</v>
      </c>
      <c r="AI21" t="s">
        <v>124</v>
      </c>
      <c r="AJ21" t="s">
        <v>125</v>
      </c>
      <c r="AK21" t="s">
        <v>126</v>
      </c>
      <c r="AL21" t="s">
        <v>127</v>
      </c>
      <c r="AM21" t="s">
        <v>128</v>
      </c>
      <c r="AN21" t="s">
        <v>129</v>
      </c>
      <c r="AO21" t="s">
        <v>130</v>
      </c>
      <c r="AP21" t="s">
        <v>131</v>
      </c>
      <c r="BD21" s="39"/>
    </row>
    <row r="22" spans="1:56" ht="15.75" x14ac:dyDescent="0.25">
      <c r="B22" s="147" t="str">
        <f>"H= "&amp;K5</f>
        <v xml:space="preserve">H= </v>
      </c>
      <c r="C22" s="139"/>
      <c r="H22" s="35"/>
      <c r="I22" s="40" t="str">
        <f>AG110</f>
        <v xml:space="preserve">Benötigter Freiraum </v>
      </c>
      <c r="S22" s="35"/>
      <c r="T22" s="140"/>
      <c r="U22" s="41"/>
      <c r="Y22" s="17" t="str">
        <f>VLOOKUP(AG21,AG2:AR96,$AE$1+1,FALSE)</f>
        <v>Montage auf Mauerwerk und Ziegel</v>
      </c>
      <c r="Z22" s="17"/>
      <c r="AB22" s="5"/>
      <c r="AG22" t="str">
        <f>VLOOKUP(AH22,AH22:AR114,$AE$1,FALSE)</f>
        <v>Montage auf Porenbeton oder Gasbeton</v>
      </c>
      <c r="AH22" t="s">
        <v>132</v>
      </c>
      <c r="AI22" t="s">
        <v>133</v>
      </c>
      <c r="AJ22" t="s">
        <v>134</v>
      </c>
      <c r="AK22" t="s">
        <v>135</v>
      </c>
      <c r="AL22" t="s">
        <v>136</v>
      </c>
      <c r="AM22" t="s">
        <v>137</v>
      </c>
      <c r="AN22" t="s">
        <v>138</v>
      </c>
      <c r="AO22" t="s">
        <v>139</v>
      </c>
      <c r="AP22" t="s">
        <v>140</v>
      </c>
    </row>
    <row r="23" spans="1:56" ht="15.75" customHeight="1" x14ac:dyDescent="0.25">
      <c r="B23" s="147"/>
      <c r="C23" s="139"/>
      <c r="I23" s="42" t="str">
        <f>VLOOKUP(AG49,AG2:AR96,$AE$1+1,FALSE)</f>
        <v>Benötigter Freiraum bei Elektro- oder Haspelkettenbedienung (wahlweise L oder R)</v>
      </c>
      <c r="S23" s="35"/>
      <c r="T23" s="32"/>
      <c r="U23" s="41"/>
      <c r="Y23" s="17"/>
      <c r="Z23" s="17"/>
      <c r="AB23" s="5"/>
      <c r="AG23" t="str">
        <f>VLOOKUP(AH23,AH23:AR115,$AE$1,FALSE)</f>
        <v>Montage auf ISO-Trapezblechfassade</v>
      </c>
      <c r="AH23" t="s">
        <v>141</v>
      </c>
      <c r="AI23" t="s">
        <v>142</v>
      </c>
      <c r="AJ23" t="s">
        <v>143</v>
      </c>
      <c r="AK23" t="s">
        <v>144</v>
      </c>
      <c r="AL23" t="s">
        <v>145</v>
      </c>
      <c r="AM23" t="s">
        <v>146</v>
      </c>
      <c r="AN23" t="s">
        <v>147</v>
      </c>
      <c r="AO23" t="s">
        <v>148</v>
      </c>
      <c r="AP23" t="s">
        <v>149</v>
      </c>
    </row>
    <row r="24" spans="1:56" ht="15.75" customHeight="1" x14ac:dyDescent="0.25">
      <c r="B24" s="147"/>
      <c r="C24" s="139"/>
      <c r="I24" s="43"/>
      <c r="S24" s="35"/>
      <c r="T24" s="32"/>
      <c r="U24" s="41"/>
      <c r="Y24" s="17"/>
      <c r="Z24" s="17"/>
      <c r="AB24" s="5"/>
    </row>
    <row r="25" spans="1:56" ht="15.75" x14ac:dyDescent="0.25">
      <c r="B25" s="147"/>
      <c r="C25" s="139"/>
      <c r="I25" s="42" t="str">
        <f>VLOOKUP(AG50,AG2:AR96,$AE$1+1,FALSE)</f>
        <v>Montagefläche für Antriebsteuerung Mass 250 x 400 mm</v>
      </c>
      <c r="Y25" s="17"/>
      <c r="Z25" s="17"/>
      <c r="AB25" s="5"/>
    </row>
    <row r="26" spans="1:56" ht="15.75" x14ac:dyDescent="0.25">
      <c r="A26" s="5"/>
      <c r="B26" s="44"/>
      <c r="C26" s="139"/>
      <c r="I26" s="42" t="str">
        <f>VLOOKUP(AG51,AG2:AR96,$AE$1+1,FALSE)</f>
        <v>Achse ca. 1.400 bis 1.500 mm vom Boden</v>
      </c>
      <c r="J26" s="17"/>
      <c r="K26" s="17"/>
      <c r="L26" s="17"/>
      <c r="M26" s="17"/>
      <c r="N26" s="17"/>
      <c r="O26" s="17"/>
      <c r="P26" s="17"/>
      <c r="Q26" s="17"/>
      <c r="T26" s="41"/>
      <c r="U26" s="41"/>
      <c r="Y26" s="17"/>
      <c r="Z26" s="17"/>
      <c r="AB26" s="5"/>
      <c r="AG26" t="str">
        <f t="shared" ref="AG26:AG33" si="0">VLOOKUP(AH26,AH26:AR118,$AE$1,FALSE)</f>
        <v>VORBEREITUNGEN UND ARBEITEN DIE VOM AUFTRAGGEBER ZU ERBRINGEN SIND, AUßER BEI SCHRIFTLICHER VEREINBARUNG IM VORAUS:</v>
      </c>
      <c r="AH26" t="s">
        <v>150</v>
      </c>
      <c r="AI26" t="s">
        <v>151</v>
      </c>
      <c r="AJ26" t="s">
        <v>152</v>
      </c>
      <c r="AK26" t="s">
        <v>153</v>
      </c>
      <c r="AL26" t="s">
        <v>154</v>
      </c>
      <c r="AM26" t="s">
        <v>155</v>
      </c>
      <c r="AN26" t="s">
        <v>156</v>
      </c>
      <c r="AO26" t="s">
        <v>157</v>
      </c>
      <c r="AP26" t="s">
        <v>158</v>
      </c>
    </row>
    <row r="27" spans="1:56" ht="15.75" customHeight="1" x14ac:dyDescent="0.25">
      <c r="A27" s="5"/>
      <c r="C27" s="139"/>
      <c r="H27" s="140"/>
      <c r="J27" s="17"/>
      <c r="K27" s="17"/>
      <c r="L27" s="17"/>
      <c r="M27" s="17"/>
      <c r="N27" s="17"/>
      <c r="O27" s="17"/>
      <c r="P27" s="17"/>
      <c r="Q27" s="17"/>
      <c r="T27" s="41"/>
      <c r="U27" s="41"/>
      <c r="Y27" s="17" t="str">
        <f>VLOOKUP(AG22,AG2:AR96,$AE$1+1,FALSE)</f>
        <v>Montage auf Porenbeton oder Gasbeton</v>
      </c>
      <c r="Z27" s="17"/>
      <c r="AB27" s="5"/>
      <c r="AG27" t="str">
        <f t="shared" si="0"/>
        <v>Bauseits:</v>
      </c>
      <c r="AH27" t="s">
        <v>159</v>
      </c>
      <c r="AI27" t="s">
        <v>160</v>
      </c>
      <c r="AJ27" t="s">
        <v>161</v>
      </c>
      <c r="AK27" t="s">
        <v>162</v>
      </c>
      <c r="AL27" t="s">
        <v>163</v>
      </c>
      <c r="AM27" t="s">
        <v>164</v>
      </c>
      <c r="AN27" t="s">
        <v>165</v>
      </c>
      <c r="AO27" t="s">
        <v>166</v>
      </c>
      <c r="AP27" t="s">
        <v>167</v>
      </c>
    </row>
    <row r="28" spans="1:56" ht="15.75" customHeight="1" x14ac:dyDescent="0.25">
      <c r="A28" s="5"/>
      <c r="H28" s="140"/>
      <c r="I28" s="42" t="str">
        <f>VLOOKUP(AG52,AG3:AR97,$AE$1+1,FALSE)</f>
        <v>Steckdose CEE 16 A, 5P, 400 V, Sicherung 6 A (10 A) mit Schutzschalter, Stromschutz  I=30 mA.</v>
      </c>
      <c r="J28" s="17"/>
      <c r="K28" s="17"/>
      <c r="L28" s="17"/>
      <c r="M28" s="17"/>
      <c r="N28" s="17"/>
      <c r="O28" s="17"/>
      <c r="P28" s="17"/>
      <c r="Q28" s="17"/>
      <c r="T28" s="41"/>
      <c r="U28" s="41"/>
      <c r="Y28" s="17"/>
      <c r="Z28" s="17"/>
      <c r="AB28" s="5"/>
      <c r="AG28" t="str">
        <f t="shared" si="0"/>
        <v>Ein stählerner Montagerahmen zur Befestigung der vertikalen Laufschienen und des Federpakets bei nicht tragfähigen Flächen wie z.B. Porenbeton, Gasbeton, Isolationspanelen u.s.w..</v>
      </c>
      <c r="AH28" t="s">
        <v>168</v>
      </c>
      <c r="AI28" t="s">
        <v>169</v>
      </c>
      <c r="AJ28" t="s">
        <v>170</v>
      </c>
      <c r="AK28" t="s">
        <v>171</v>
      </c>
      <c r="AL28" t="s">
        <v>172</v>
      </c>
      <c r="AM28" t="s">
        <v>173</v>
      </c>
      <c r="AN28" t="s">
        <v>174</v>
      </c>
      <c r="AO28" t="s">
        <v>175</v>
      </c>
      <c r="AP28" t="s">
        <v>176</v>
      </c>
    </row>
    <row r="29" spans="1:56" ht="29.25" customHeight="1" x14ac:dyDescent="0.25">
      <c r="A29" s="5"/>
      <c r="C29" s="45"/>
      <c r="H29" s="140"/>
      <c r="J29" s="17"/>
      <c r="K29" s="17"/>
      <c r="L29" s="17"/>
      <c r="M29" s="17"/>
      <c r="N29" s="17"/>
      <c r="O29" s="17"/>
      <c r="P29" s="17"/>
      <c r="Q29" s="17"/>
      <c r="Y29" s="17"/>
      <c r="Z29" s="17"/>
      <c r="AB29" s="5"/>
      <c r="AG29" t="str">
        <f t="shared" si="0"/>
        <v>Befestigungsmöglichkeit für die Zwischen- und Endaufhängung der horizontalen Laufschienen bis zu max. 1 m über diesen Laufschienen.</v>
      </c>
      <c r="AH29" t="s">
        <v>177</v>
      </c>
      <c r="AI29" t="s">
        <v>178</v>
      </c>
      <c r="AJ29" t="s">
        <v>179</v>
      </c>
      <c r="AK29" t="s">
        <v>180</v>
      </c>
      <c r="AL29" t="s">
        <v>181</v>
      </c>
      <c r="AM29" t="s">
        <v>182</v>
      </c>
      <c r="AN29" t="s">
        <v>183</v>
      </c>
      <c r="AO29" t="s">
        <v>184</v>
      </c>
      <c r="AP29" t="s">
        <v>185</v>
      </c>
    </row>
    <row r="30" spans="1:56" ht="15.75" x14ac:dyDescent="0.25">
      <c r="B30" s="27"/>
      <c r="C30" s="28"/>
      <c r="H30" s="35"/>
      <c r="I30" s="17"/>
      <c r="J30" s="17"/>
      <c r="K30" s="17"/>
      <c r="L30" s="17"/>
      <c r="M30" s="17"/>
      <c r="N30" s="17"/>
      <c r="O30" s="17"/>
      <c r="P30" s="17"/>
      <c r="Q30" s="17"/>
      <c r="Y30" s="17"/>
      <c r="Z30" s="17"/>
      <c r="AB30" s="5"/>
      <c r="AG30" t="str">
        <f t="shared" si="0"/>
        <v>Benötigte Montageflächen und Freiräume gemäß Zeichnung.</v>
      </c>
      <c r="AH30" t="s">
        <v>186</v>
      </c>
      <c r="AI30" t="s">
        <v>187</v>
      </c>
      <c r="AJ30" t="s">
        <v>188</v>
      </c>
      <c r="AK30" t="s">
        <v>189</v>
      </c>
      <c r="AL30" t="s">
        <v>190</v>
      </c>
      <c r="AM30" t="s">
        <v>191</v>
      </c>
      <c r="AN30" t="s">
        <v>192</v>
      </c>
      <c r="AO30" t="s">
        <v>193</v>
      </c>
      <c r="AP30" t="s">
        <v>194</v>
      </c>
    </row>
    <row r="31" spans="1:56" ht="17.25" customHeight="1" x14ac:dyDescent="0.25">
      <c r="A31" s="5"/>
      <c r="B31" s="22">
        <f>IF($K$7=$AG$102,150,IF(AND($K$7=$AG$103,$R$7=$AG$107),400,IF(AND($K$7=$AG$104,R7=$AG$107),400,IF(AND($K$7=$AG$103,$R$7=$AG$108),150,IF(AND($K$7=$AG$104,R7=$AG$108),150,180)))))</f>
        <v>180</v>
      </c>
      <c r="E31" s="22" t="s">
        <v>195</v>
      </c>
      <c r="F31" s="141">
        <f>K3</f>
        <v>0</v>
      </c>
      <c r="G31" s="141"/>
      <c r="I31" s="23">
        <f>IF(K7=AG102,150,IF(AND(K7=AG103,R7=AG108),400,IF(AND(K7=AG104,R7=AG108),400,IF(AND(K7=AG103,R7=AG107),180,IF(AND(K7=AG104,R7=AG107),180,150)))))</f>
        <v>150</v>
      </c>
      <c r="J31" s="46"/>
      <c r="K31" s="46"/>
      <c r="L31" s="46"/>
      <c r="M31" s="46"/>
      <c r="N31" s="46"/>
      <c r="O31" s="46"/>
      <c r="P31" s="46"/>
      <c r="Q31" s="142">
        <f>IF($K$9=$AG$122,290,250)</f>
        <v>250</v>
      </c>
      <c r="Y31" s="17"/>
      <c r="Z31" s="17"/>
      <c r="AB31" s="5"/>
      <c r="AG31" t="str">
        <f t="shared" si="0"/>
        <v>Elektrisch (bei elektrisch bedienten Toren):</v>
      </c>
      <c r="AH31" t="s">
        <v>196</v>
      </c>
      <c r="AI31" t="s">
        <v>197</v>
      </c>
      <c r="AJ31" t="s">
        <v>198</v>
      </c>
      <c r="AK31" t="s">
        <v>199</v>
      </c>
      <c r="AL31" t="s">
        <v>200</v>
      </c>
      <c r="AM31" t="s">
        <v>201</v>
      </c>
      <c r="AN31" t="s">
        <v>202</v>
      </c>
      <c r="AO31" t="s">
        <v>203</v>
      </c>
      <c r="AP31" t="s">
        <v>204</v>
      </c>
    </row>
    <row r="32" spans="1:56" ht="15.75" customHeight="1" x14ac:dyDescent="0.25">
      <c r="B32" s="27"/>
      <c r="I32" s="46"/>
      <c r="J32" s="46"/>
      <c r="K32" s="46"/>
      <c r="L32" s="46"/>
      <c r="M32" s="46"/>
      <c r="N32" s="46"/>
      <c r="O32" s="46"/>
      <c r="P32" s="46"/>
      <c r="Q32" s="142"/>
      <c r="R32" s="45"/>
      <c r="Y32" s="143" t="str">
        <f>VLOOKUP(AG23,AG2:AR96,$AE$1+1,FALSE)</f>
        <v>Montage auf ISO-Trapezblechfassade</v>
      </c>
      <c r="Z32" s="143"/>
      <c r="AA32" s="143"/>
      <c r="AB32" s="5"/>
      <c r="AG32" t="str">
        <f t="shared" si="0"/>
        <v>Stromzufuhr 400V/230V mittels Eurosteckdose, 3 Phasen+0+PE max.1 meter vom Schaltkasten.</v>
      </c>
      <c r="AH32" t="s">
        <v>205</v>
      </c>
      <c r="AI32" t="s">
        <v>206</v>
      </c>
      <c r="AJ32" t="s">
        <v>207</v>
      </c>
      <c r="AK32" t="s">
        <v>208</v>
      </c>
      <c r="AL32" t="s">
        <v>209</v>
      </c>
      <c r="AM32" t="s">
        <v>210</v>
      </c>
      <c r="AN32" t="s">
        <v>211</v>
      </c>
      <c r="AO32" t="s">
        <v>212</v>
      </c>
      <c r="AP32" t="s">
        <v>213</v>
      </c>
    </row>
    <row r="33" spans="1:42" ht="15.75" customHeight="1" x14ac:dyDescent="0.25">
      <c r="A33" s="5"/>
      <c r="D33" s="26"/>
      <c r="H33" s="22"/>
      <c r="Y33" s="143"/>
      <c r="Z33" s="143"/>
      <c r="AA33" s="143"/>
      <c r="AB33" s="5"/>
      <c r="AG33" t="str">
        <f t="shared" si="0"/>
        <v>Montagefläche für Schaltkasten, Abmessungen 250 x 400 mm</v>
      </c>
      <c r="AH33" t="s">
        <v>214</v>
      </c>
      <c r="AI33" t="s">
        <v>215</v>
      </c>
      <c r="AJ33" t="s">
        <v>216</v>
      </c>
      <c r="AK33" t="s">
        <v>217</v>
      </c>
      <c r="AL33" t="s">
        <v>218</v>
      </c>
      <c r="AM33" t="s">
        <v>219</v>
      </c>
      <c r="AN33" t="s">
        <v>220</v>
      </c>
      <c r="AO33" t="s">
        <v>221</v>
      </c>
      <c r="AP33" t="s">
        <v>222</v>
      </c>
    </row>
    <row r="34" spans="1:42" x14ac:dyDescent="0.25">
      <c r="B34" s="27"/>
      <c r="H34" s="28"/>
      <c r="AB34" s="5"/>
    </row>
    <row r="35" spans="1:42" x14ac:dyDescent="0.25">
      <c r="B35" s="27"/>
      <c r="AB35" s="5"/>
    </row>
    <row r="36" spans="1:42" x14ac:dyDescent="0.25">
      <c r="B36" s="27"/>
      <c r="AB36" s="5"/>
      <c r="AG36" t="str">
        <f>VLOOKUP(AH36,AH36:AR128,$AE$1,FALSE)</f>
        <v>BENÖTIGTER MONTAGEFLÄCHEN</v>
      </c>
      <c r="AH36" t="s">
        <v>223</v>
      </c>
      <c r="AI36" t="s">
        <v>224</v>
      </c>
      <c r="AJ36" t="s">
        <v>225</v>
      </c>
      <c r="AK36" t="s">
        <v>226</v>
      </c>
      <c r="AL36" t="s">
        <v>227</v>
      </c>
      <c r="AM36" t="s">
        <v>228</v>
      </c>
      <c r="AN36" t="s">
        <v>229</v>
      </c>
      <c r="AO36" t="s">
        <v>230</v>
      </c>
      <c r="AP36" t="s">
        <v>231</v>
      </c>
    </row>
    <row r="37" spans="1:42" ht="18.75" x14ac:dyDescent="0.3">
      <c r="B37" s="27"/>
      <c r="E37" s="11" t="str">
        <f>VLOOKUP(AG7,AG2:AR96,$AE$1+1,FALSE)</f>
        <v>DURCHSCHNITT B-B</v>
      </c>
      <c r="AB37" s="5"/>
      <c r="AG37" t="str">
        <f>VLOOKUP(AH37,AH37:AR129,$AE$1,FALSE)</f>
        <v>MONTAGEFLÄCHE FÜR DEN MOTOR</v>
      </c>
      <c r="AH37" t="s">
        <v>232</v>
      </c>
      <c r="AI37" t="s">
        <v>233</v>
      </c>
      <c r="AJ37" t="s">
        <v>234</v>
      </c>
      <c r="AK37" t="s">
        <v>235</v>
      </c>
      <c r="AL37" t="s">
        <v>236</v>
      </c>
      <c r="AM37" t="s">
        <v>237</v>
      </c>
      <c r="AN37" t="s">
        <v>238</v>
      </c>
      <c r="AO37" t="s">
        <v>239</v>
      </c>
      <c r="AP37" t="s">
        <v>240</v>
      </c>
    </row>
    <row r="38" spans="1:42" ht="15.75" x14ac:dyDescent="0.25">
      <c r="B38" s="27"/>
      <c r="L38" s="17" t="str">
        <f>VLOOKUP(AG42,AG2:AR96,$AE$1+1,FALSE)</f>
        <v>Bodenneigung</v>
      </c>
      <c r="AB38" s="5"/>
      <c r="AG38" t="str">
        <f>VLOOKUP(AH38,AH38:AR130,$AE$1,FALSE)</f>
        <v>BENÖTIGTER FREIRAUM</v>
      </c>
      <c r="AH38" t="s">
        <v>241</v>
      </c>
      <c r="AI38" t="s">
        <v>242</v>
      </c>
      <c r="AJ38" t="s">
        <v>243</v>
      </c>
      <c r="AK38" t="s">
        <v>244</v>
      </c>
      <c r="AL38" t="s">
        <v>245</v>
      </c>
      <c r="AM38" t="s">
        <v>246</v>
      </c>
      <c r="AN38" t="s">
        <v>247</v>
      </c>
      <c r="AO38" t="s">
        <v>248</v>
      </c>
      <c r="AP38" t="s">
        <v>249</v>
      </c>
    </row>
    <row r="39" spans="1:42" ht="15.75" customHeight="1" x14ac:dyDescent="0.25">
      <c r="B39" s="144">
        <f>IF($K$9=$AG$122,290,250)</f>
        <v>250</v>
      </c>
      <c r="C39" s="41"/>
      <c r="N39" s="17"/>
      <c r="AB39" s="5"/>
      <c r="AG39" t="str">
        <f>VLOOKUP(AH39,AH39:AR131,$AE$1,FALSE)</f>
        <v>EXTRA FREIRAUM FÜR MOTOR/KETTE</v>
      </c>
      <c r="AH39" t="s">
        <v>250</v>
      </c>
      <c r="AI39" t="s">
        <v>251</v>
      </c>
      <c r="AJ39" t="s">
        <v>252</v>
      </c>
      <c r="AK39" t="s">
        <v>253</v>
      </c>
      <c r="AL39" t="s">
        <v>254</v>
      </c>
      <c r="AM39" t="s">
        <v>255</v>
      </c>
      <c r="AN39" t="s">
        <v>256</v>
      </c>
      <c r="AO39" t="s">
        <v>257</v>
      </c>
      <c r="AP39" t="s">
        <v>258</v>
      </c>
    </row>
    <row r="40" spans="1:42" ht="15.75" x14ac:dyDescent="0.25">
      <c r="B40" s="144"/>
      <c r="C40" s="41"/>
      <c r="N40" s="17"/>
      <c r="O40" s="17"/>
      <c r="AB40" s="5"/>
    </row>
    <row r="41" spans="1:42" ht="15.75" x14ac:dyDescent="0.25">
      <c r="B41" s="27"/>
      <c r="N41" s="17"/>
      <c r="O41" s="17"/>
      <c r="AB41" s="5"/>
    </row>
    <row r="42" spans="1:42" ht="15.75" x14ac:dyDescent="0.25">
      <c r="B42" s="27"/>
      <c r="E42" s="132">
        <f>B31+I31+F31</f>
        <v>330</v>
      </c>
      <c r="F42" s="132"/>
      <c r="N42" s="17"/>
      <c r="O42" s="17"/>
      <c r="AB42" s="5"/>
      <c r="AG42" t="str">
        <f>VLOOKUP(AH42,AH42:AR134,$AE$1,FALSE)</f>
        <v>Bodenneigung</v>
      </c>
      <c r="AH42" t="s">
        <v>259</v>
      </c>
      <c r="AI42" t="s">
        <v>260</v>
      </c>
      <c r="AJ42" t="s">
        <v>261</v>
      </c>
      <c r="AK42" t="s">
        <v>262</v>
      </c>
      <c r="AL42" t="s">
        <v>263</v>
      </c>
      <c r="AM42" t="s">
        <v>264</v>
      </c>
      <c r="AN42" t="s">
        <v>265</v>
      </c>
      <c r="AO42" t="s">
        <v>266</v>
      </c>
      <c r="AP42" t="s">
        <v>267</v>
      </c>
    </row>
    <row r="43" spans="1:42" ht="15.75" x14ac:dyDescent="0.25">
      <c r="B43" s="27"/>
      <c r="O43" s="17"/>
      <c r="AB43" s="5"/>
      <c r="AG43" t="str">
        <f>VLOOKUP(AH43,AH43:AR135,$AE$1,FALSE)</f>
        <v>nach aussen</v>
      </c>
      <c r="AH43" t="s">
        <v>268</v>
      </c>
      <c r="AI43" t="s">
        <v>269</v>
      </c>
      <c r="AJ43" t="s">
        <v>270</v>
      </c>
      <c r="AK43" t="s">
        <v>271</v>
      </c>
      <c r="AL43" t="str">
        <f>""</f>
        <v/>
      </c>
      <c r="AM43" t="s">
        <v>272</v>
      </c>
      <c r="AN43" t="s">
        <v>273</v>
      </c>
      <c r="AO43" t="s">
        <v>274</v>
      </c>
    </row>
    <row r="44" spans="1:42" ht="15.75" customHeight="1" x14ac:dyDescent="0.25">
      <c r="B44" s="27"/>
      <c r="N44" s="17"/>
      <c r="O44" s="17"/>
      <c r="AB44" s="5"/>
      <c r="AG44" t="str">
        <f>VLOOKUP(AH44,AH44:AR136,$AE$1,FALSE)</f>
        <v>Gefälle 3%</v>
      </c>
      <c r="AH44" t="s">
        <v>275</v>
      </c>
      <c r="AI44" t="s">
        <v>276</v>
      </c>
      <c r="AJ44" t="s">
        <v>277</v>
      </c>
      <c r="AK44" t="s">
        <v>278</v>
      </c>
      <c r="AL44" t="s">
        <v>279</v>
      </c>
      <c r="AM44" t="s">
        <v>280</v>
      </c>
      <c r="AN44" t="s">
        <v>281</v>
      </c>
      <c r="AO44" t="s">
        <v>282</v>
      </c>
      <c r="AP44" t="s">
        <v>283</v>
      </c>
    </row>
    <row r="45" spans="1:42" ht="15.75" x14ac:dyDescent="0.25">
      <c r="B45" s="27"/>
      <c r="L45" s="17"/>
      <c r="N45" s="17"/>
      <c r="O45" s="17"/>
      <c r="AB45" s="5"/>
      <c r="AG45" t="str">
        <f>VLOOKUP(AH45,AH45:AR137,$AE$1,FALSE)</f>
        <v>Wasserschenkel</v>
      </c>
      <c r="AH45" t="s">
        <v>268</v>
      </c>
      <c r="AI45" t="s">
        <v>284</v>
      </c>
      <c r="AJ45" t="s">
        <v>285</v>
      </c>
      <c r="AK45" t="s">
        <v>271</v>
      </c>
      <c r="AL45" t="s">
        <v>263</v>
      </c>
      <c r="AM45" t="s">
        <v>286</v>
      </c>
      <c r="AN45" t="s">
        <v>287</v>
      </c>
      <c r="AO45" t="s">
        <v>288</v>
      </c>
    </row>
    <row r="46" spans="1:42" ht="15.75" x14ac:dyDescent="0.25">
      <c r="B46" s="27"/>
      <c r="N46" s="17"/>
      <c r="O46" s="17"/>
      <c r="R46" s="47" t="str">
        <f>VLOOKUP(AG36,AG2:AR96,$AE$1+1,FALSE)</f>
        <v>BENÖTIGTER MONTAGEFLÄCHEN</v>
      </c>
      <c r="S46" s="47"/>
      <c r="T46" s="47"/>
      <c r="U46" s="47"/>
      <c r="V46" s="47"/>
      <c r="W46" s="47"/>
      <c r="X46" s="47" t="str">
        <f>VLOOKUP(AG38,AG4:AR97,$AE$1+1,FALSE)</f>
        <v>BENÖTIGTER FREIRAUM</v>
      </c>
      <c r="Y46" s="47"/>
      <c r="Z46" s="47"/>
      <c r="AA46" s="47"/>
      <c r="AB46" s="5"/>
      <c r="AG46" t="str">
        <f>VLOOKUP(AH46,AH46:AR138,$AE$1,FALSE)</f>
        <v>Boden mit</v>
      </c>
      <c r="AH46" t="s">
        <v>259</v>
      </c>
      <c r="AI46" t="s">
        <v>289</v>
      </c>
      <c r="AJ46" t="s">
        <v>290</v>
      </c>
      <c r="AK46" t="s">
        <v>262</v>
      </c>
      <c r="AL46" t="str">
        <f>""</f>
        <v/>
      </c>
      <c r="AM46" t="s">
        <v>291</v>
      </c>
      <c r="AN46" t="s">
        <v>292</v>
      </c>
      <c r="AO46" t="s">
        <v>293</v>
      </c>
      <c r="AP46" t="s">
        <v>294</v>
      </c>
    </row>
    <row r="47" spans="1:42" ht="15.75" x14ac:dyDescent="0.25">
      <c r="B47" s="27"/>
      <c r="O47" s="1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5"/>
    </row>
    <row r="48" spans="1:42" x14ac:dyDescent="0.25">
      <c r="A48" s="5"/>
      <c r="R48" s="47" t="str">
        <f>VLOOKUP(AG37,AG4:AR97,$AE$1+1,FALSE)</f>
        <v>MONTAGEFLÄCHE FÜR DEN MOTOR</v>
      </c>
      <c r="S48" s="47"/>
      <c r="T48" s="47"/>
      <c r="U48" s="47"/>
      <c r="V48" s="47"/>
      <c r="W48" s="47"/>
      <c r="X48" s="133"/>
      <c r="Y48" s="133"/>
      <c r="Z48" s="133"/>
      <c r="AA48" s="133"/>
      <c r="AB48" s="134"/>
    </row>
    <row r="49" spans="1:42" x14ac:dyDescent="0.25">
      <c r="A49" s="5"/>
      <c r="X49" s="133"/>
      <c r="Y49" s="133"/>
      <c r="Z49" s="133"/>
      <c r="AA49" s="133"/>
      <c r="AB49" s="134"/>
      <c r="AG49" t="str">
        <f>VLOOKUP(AH49,AH49:AR141,$AE$1,FALSE)</f>
        <v>Benötigter Freiraum bei Elektro- oder Haspelkettenbedienung (wahlweise L oder R)</v>
      </c>
      <c r="AH49" t="s">
        <v>295</v>
      </c>
      <c r="AI49" t="s">
        <v>296</v>
      </c>
      <c r="AJ49" t="s">
        <v>297</v>
      </c>
      <c r="AK49" t="s">
        <v>298</v>
      </c>
      <c r="AL49" t="s">
        <v>299</v>
      </c>
      <c r="AM49" t="s">
        <v>300</v>
      </c>
      <c r="AN49" t="s">
        <v>301</v>
      </c>
      <c r="AO49" t="s">
        <v>302</v>
      </c>
      <c r="AP49" t="s">
        <v>303</v>
      </c>
    </row>
    <row r="50" spans="1:42" ht="15.75" x14ac:dyDescent="0.25">
      <c r="A50" s="5"/>
      <c r="B50" s="17" t="str">
        <f>VLOOKUP(AG8,AG2:AR96,$AE$1+1,FALSE)</f>
        <v>ACHTUNG:</v>
      </c>
      <c r="C50" s="17"/>
      <c r="D50" s="17"/>
      <c r="E50" s="17"/>
      <c r="F50" s="17"/>
      <c r="G50" s="17"/>
      <c r="H50" s="17"/>
      <c r="I50" s="17"/>
      <c r="J50" s="17"/>
      <c r="K50" s="17"/>
      <c r="R50" s="135" t="str">
        <f>VLOOKUP(AG26,AG2:AR96,$AE$1+1,FALSE)</f>
        <v>VORBEREITUNGEN UND ARBEITEN DIE VOM AUFTRAGGEBER ZU ERBRINGEN SIND, AUßER BEI SCHRIFTLICHER VEREINBARUNG IM VORAUS:</v>
      </c>
      <c r="S50" s="135"/>
      <c r="T50" s="135"/>
      <c r="U50" s="135"/>
      <c r="V50" s="135"/>
      <c r="W50" s="135"/>
      <c r="X50" s="135"/>
      <c r="Y50" s="135"/>
      <c r="Z50" s="135"/>
      <c r="AA50" s="135"/>
      <c r="AB50" s="136"/>
      <c r="AG50" t="str">
        <f>VLOOKUP(AH50,AH50:AR142,$AE$1,FALSE)</f>
        <v>Montagefläche für Antriebsteuerung Mass 250 x 400 mm</v>
      </c>
      <c r="AH50" t="s">
        <v>304</v>
      </c>
      <c r="AI50" t="s">
        <v>305</v>
      </c>
      <c r="AJ50" t="s">
        <v>306</v>
      </c>
      <c r="AK50" t="s">
        <v>307</v>
      </c>
      <c r="AL50" t="s">
        <v>308</v>
      </c>
      <c r="AM50" t="s">
        <v>309</v>
      </c>
      <c r="AN50" t="s">
        <v>310</v>
      </c>
      <c r="AO50" t="s">
        <v>311</v>
      </c>
      <c r="AP50" t="s">
        <v>312</v>
      </c>
    </row>
    <row r="51" spans="1:42" ht="15.75" x14ac:dyDescent="0.25">
      <c r="A51" s="5"/>
      <c r="B51" s="17"/>
      <c r="C51" s="17"/>
      <c r="D51" s="17"/>
      <c r="E51" s="17"/>
      <c r="F51" s="17"/>
      <c r="G51" s="17"/>
      <c r="H51" s="17"/>
      <c r="I51" s="17"/>
      <c r="J51" s="17"/>
      <c r="K51" s="17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G51" t="str">
        <f>VLOOKUP(AH51,AH51:AR143,$AE$1,FALSE)</f>
        <v>Achse ca. 1.400 bis 1.500 mm vom Boden</v>
      </c>
      <c r="AH51" t="s">
        <v>313</v>
      </c>
      <c r="AI51" t="s">
        <v>314</v>
      </c>
      <c r="AJ51" t="s">
        <v>315</v>
      </c>
      <c r="AK51" t="s">
        <v>316</v>
      </c>
      <c r="AL51" t="s">
        <v>317</v>
      </c>
      <c r="AM51" t="s">
        <v>318</v>
      </c>
      <c r="AN51" t="s">
        <v>319</v>
      </c>
      <c r="AO51" t="s">
        <v>320</v>
      </c>
      <c r="AP51" t="s">
        <v>321</v>
      </c>
    </row>
    <row r="52" spans="1:42" ht="15.75" x14ac:dyDescent="0.25">
      <c r="B52" s="48" t="str">
        <f>VLOOKUP(AG55,AG2:AR96,$AE$1+1,FALSE)</f>
        <v>Die hinteren Seiten der Sturze und Pfeiler, sowie die Montagefläche für das Federpaket müssen eben und auf einer Linie liegen.</v>
      </c>
      <c r="C52" s="17"/>
      <c r="D52" s="17"/>
      <c r="E52" s="17"/>
      <c r="F52" s="17"/>
      <c r="G52" s="17"/>
      <c r="H52" s="17"/>
      <c r="I52" s="17"/>
      <c r="J52" s="17"/>
      <c r="K52" s="17"/>
      <c r="R52" t="str">
        <f>VLOOKUP(AG27,AG2:AR96,$AE$1+1,FALSE)</f>
        <v>Bauseits:</v>
      </c>
      <c r="AB52" s="5"/>
      <c r="AG52" t="str">
        <f>VLOOKUP(AH52,AH52:AR144,$AE$1,FALSE)</f>
        <v>Steckdose CEE 16 A, 5P, 400 V, Sicherung 6 A (10 A) mit Schutzschalter, Stromschutz  I=30 mA.</v>
      </c>
      <c r="AH52" t="s">
        <v>322</v>
      </c>
      <c r="AI52" t="s">
        <v>323</v>
      </c>
      <c r="AJ52" t="s">
        <v>324</v>
      </c>
      <c r="AK52" t="s">
        <v>325</v>
      </c>
      <c r="AL52" t="s">
        <v>326</v>
      </c>
      <c r="AM52" t="s">
        <v>327</v>
      </c>
      <c r="AN52" t="s">
        <v>328</v>
      </c>
      <c r="AO52" t="s">
        <v>329</v>
      </c>
      <c r="AP52" t="s">
        <v>330</v>
      </c>
    </row>
    <row r="53" spans="1:42" ht="15.75" x14ac:dyDescent="0.25">
      <c r="B53" s="48" t="str">
        <f>VLOOKUP(AG56,AG2:AR96,$AE$1+1,FALSE)</f>
        <v>Im übrigen müssen die lichten Masse eben und rechtwinklig sein.</v>
      </c>
      <c r="C53" s="17"/>
      <c r="D53" s="17"/>
      <c r="E53" s="17"/>
      <c r="F53" s="17"/>
      <c r="G53" s="17"/>
      <c r="H53" s="17"/>
      <c r="I53" s="17"/>
      <c r="J53" s="17"/>
      <c r="K53" s="17"/>
      <c r="R53" s="137" t="str">
        <f>VLOOKUP(AG28,AG2:AR96,$AE$1+1,FALSE)</f>
        <v>Ein stählerner Montagerahmen zur Befestigung der vertikalen Laufschienen und des Federpakets bei nicht tragfähigen Flächen wie z.B. Porenbeton, Gasbeton, Isolationspanelen u.s.w..</v>
      </c>
      <c r="S53" s="137"/>
      <c r="T53" s="137"/>
      <c r="U53" s="137"/>
      <c r="V53" s="137"/>
      <c r="W53" s="137"/>
      <c r="X53" s="137"/>
      <c r="Y53" s="137"/>
      <c r="Z53" s="137"/>
      <c r="AA53" s="137"/>
      <c r="AB53" s="138"/>
    </row>
    <row r="54" spans="1:42" ht="15.75" customHeight="1" x14ac:dyDescent="0.25">
      <c r="B54" s="48" t="str">
        <f>VLOOKUP(AG57,AG2:AR96,$AE$1+1,FALSE)</f>
        <v>Der Fussboden muss glatt und waagerecht sein.</v>
      </c>
      <c r="C54" s="17"/>
      <c r="D54" s="17"/>
      <c r="E54" s="17"/>
      <c r="F54" s="17"/>
      <c r="G54" s="17"/>
      <c r="H54" s="17"/>
      <c r="I54" s="17"/>
      <c r="J54" s="17"/>
      <c r="K54" s="1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8"/>
    </row>
    <row r="55" spans="1:42" ht="16.5" thickBot="1" x14ac:dyDescent="0.3">
      <c r="B55" s="49" t="str">
        <f>AG113</f>
        <v>Tore mit Antrieb oder Hanspelkettenantrieb müssen Seilspannvorrichtung (für Zurückziehung) der ist immer rechts montiert (es ist nicht wichtig wo Antrieb montiert ist) enthalten.</v>
      </c>
      <c r="C55" s="17"/>
      <c r="D55" s="17"/>
      <c r="E55" s="17"/>
      <c r="F55" s="17"/>
      <c r="G55" s="17"/>
      <c r="H55" s="17"/>
      <c r="I55" s="17"/>
      <c r="J55" s="17"/>
      <c r="K55" s="17"/>
      <c r="P55" s="1"/>
      <c r="R55" s="137" t="str">
        <f>VLOOKUP(AG29,AG3:AR96,$AE$1+1,FALSE)</f>
        <v>Befestigungsmöglichkeit für die Zwischen- und Endaufhängung der horizontalen Laufschienen bis zu max. 1 m über diesen Laufschienen.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8"/>
      <c r="AG55" t="str">
        <f>VLOOKUP(AH55,AH55:AR147,$AE$1,FALSE)</f>
        <v>Die hinteren Seiten der Sturze und Pfeiler, sowie die Montagefläche für das Federpaket müssen eben und auf einer Linie liegen.</v>
      </c>
      <c r="AH55" t="s">
        <v>331</v>
      </c>
      <c r="AI55" t="s">
        <v>332</v>
      </c>
      <c r="AJ55" t="s">
        <v>333</v>
      </c>
      <c r="AK55" t="s">
        <v>334</v>
      </c>
      <c r="AL55" t="s">
        <v>335</v>
      </c>
      <c r="AM55" t="s">
        <v>336</v>
      </c>
      <c r="AN55" t="s">
        <v>337</v>
      </c>
      <c r="AO55" t="s">
        <v>338</v>
      </c>
      <c r="AP55" t="s">
        <v>339</v>
      </c>
    </row>
    <row r="56" spans="1:42" ht="15.75" thickBot="1" x14ac:dyDescent="0.3">
      <c r="B56" s="50" t="str">
        <f>VLOOKUP(AG60,AG2:AR96,$AE$1+1,FALSE)</f>
        <v>MASSE in mm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8"/>
      <c r="AG56" t="str">
        <f>VLOOKUP(AH56,AH56:AR148,$AE$1,FALSE)</f>
        <v>Im übrigen müssen die lichten Masse eben und rechtwinklig sein.</v>
      </c>
      <c r="AH56" t="s">
        <v>340</v>
      </c>
      <c r="AI56" t="s">
        <v>341</v>
      </c>
      <c r="AJ56" t="s">
        <v>342</v>
      </c>
      <c r="AK56" t="s">
        <v>343</v>
      </c>
      <c r="AL56" t="s">
        <v>344</v>
      </c>
      <c r="AM56" t="s">
        <v>345</v>
      </c>
      <c r="AN56" t="s">
        <v>346</v>
      </c>
      <c r="AO56" t="s">
        <v>347</v>
      </c>
      <c r="AP56" t="s">
        <v>348</v>
      </c>
    </row>
    <row r="57" spans="1:42" ht="15.75" thickBot="1" x14ac:dyDescent="0.3">
      <c r="B57" s="53" t="s">
        <v>349</v>
      </c>
      <c r="C57" s="1" t="str">
        <f>VLOOKUP(AG61,AG2:AR96,$AE$1+1,FALSE)</f>
        <v>Lichte Breite</v>
      </c>
      <c r="D57" s="51"/>
      <c r="E57" s="1"/>
      <c r="F57" s="52"/>
      <c r="G57" s="54" t="str">
        <f>VLOOKUP(AG74,AG6:AR99,$AE$1+1,FALSE)</f>
        <v>Handbedienung</v>
      </c>
      <c r="H57" s="55"/>
      <c r="I57" s="55"/>
      <c r="J57" s="55"/>
      <c r="K57" s="54"/>
      <c r="L57" s="56"/>
      <c r="M57" s="51" t="str">
        <f>VLOOKUP(AG81,AG6:AR99,$AE$1+1,FALSE)</f>
        <v>Freiraum über Sturz</v>
      </c>
      <c r="N57" s="51"/>
      <c r="O57" s="51"/>
      <c r="P57" s="52"/>
      <c r="R57" t="str">
        <f>VLOOKUP(AG30,AG2:AR96,$AE$1+1,FALSE)</f>
        <v>Benötigte Montageflächen und Freiräume gemäß Zeichnung.</v>
      </c>
      <c r="AB57" s="5"/>
      <c r="AG57" t="str">
        <f>VLOOKUP(AH57,AH57:AR149,$AE$1,FALSE)</f>
        <v>Der Fussboden muss glatt und waagerecht sein.</v>
      </c>
      <c r="AH57" t="s">
        <v>350</v>
      </c>
      <c r="AI57" t="s">
        <v>351</v>
      </c>
      <c r="AJ57" t="s">
        <v>352</v>
      </c>
      <c r="AK57" t="s">
        <v>353</v>
      </c>
      <c r="AL57" t="s">
        <v>354</v>
      </c>
      <c r="AM57" t="s">
        <v>355</v>
      </c>
      <c r="AN57" t="s">
        <v>356</v>
      </c>
      <c r="AO57" t="s">
        <v>357</v>
      </c>
      <c r="AP57" t="s">
        <v>358</v>
      </c>
    </row>
    <row r="58" spans="1:42" ht="15.75" thickBot="1" x14ac:dyDescent="0.3">
      <c r="B58" s="53" t="s">
        <v>359</v>
      </c>
      <c r="C58" s="1" t="str">
        <f>VLOOKUP(AG62,AG3:AR96,$AE$1+1,FALSE)</f>
        <v>Lichte Höhe</v>
      </c>
      <c r="D58" s="51"/>
      <c r="E58" s="51"/>
      <c r="F58" s="52"/>
      <c r="G58" s="53" t="s">
        <v>360</v>
      </c>
      <c r="H58" s="51" t="str">
        <f>VLOOKUP(AG75,AG6:AR99,$AE$1+1,FALSE)</f>
        <v>Beide Seiten</v>
      </c>
      <c r="I58" s="51"/>
      <c r="K58" s="51"/>
      <c r="L58" s="51" t="s">
        <v>361</v>
      </c>
      <c r="M58" s="53" t="s">
        <v>362</v>
      </c>
      <c r="N58" s="50"/>
      <c r="O58" s="51"/>
      <c r="P58" s="57">
        <f>IF(K9=AG122,270,230)</f>
        <v>230</v>
      </c>
      <c r="R58" t="str">
        <f>VLOOKUP(AG31,AG2:AR96,$AE$1+1,FALSE)</f>
        <v>Elektrisch (bei elektrisch bedienten Toren):</v>
      </c>
      <c r="AB58" s="5"/>
    </row>
    <row r="59" spans="1:42" ht="15.75" thickBot="1" x14ac:dyDescent="0.3">
      <c r="A59" s="5"/>
      <c r="B59" s="53" t="s">
        <v>363</v>
      </c>
      <c r="C59" s="1" t="str">
        <f>VLOOKUP(AG65,AG5:AR98,$AE$1+1,FALSE)</f>
        <v>Freiraum über Sturz</v>
      </c>
      <c r="D59" s="51"/>
      <c r="E59" s="51"/>
      <c r="F59" s="52"/>
      <c r="G59" s="53" t="s">
        <v>364</v>
      </c>
      <c r="H59" s="51" t="str">
        <f>VLOOKUP(AG78,AG6:AR99,$AE$1+1,FALSE)</f>
        <v>Einbautiefe</v>
      </c>
      <c r="I59" s="51"/>
      <c r="J59" s="51"/>
      <c r="K59" s="58" t="s">
        <v>365</v>
      </c>
      <c r="L59" s="52" t="str">
        <f>IF(OR(K3="",K5="",P58=""),"",K5+1250)</f>
        <v/>
      </c>
      <c r="M59" s="129"/>
      <c r="N59" s="130"/>
      <c r="O59" s="130"/>
      <c r="P59" s="131"/>
      <c r="R59" t="str">
        <f>VLOOKUP(AG32,AG2:AR96,$AE$1+1,FALSE)</f>
        <v>Stromzufuhr 400V/230V mittels Eurosteckdose, 3 Phasen+0+PE max.1 meter vom Schaltkasten.</v>
      </c>
      <c r="AB59" s="5"/>
    </row>
    <row r="60" spans="1:42" ht="15.75" thickBot="1" x14ac:dyDescent="0.3">
      <c r="A60" s="5"/>
      <c r="B60" s="53" t="s">
        <v>366</v>
      </c>
      <c r="C60" s="51" t="str">
        <f>AG82</f>
        <v>Mitte Achse zum Sturz</v>
      </c>
      <c r="D60" s="51"/>
      <c r="E60" s="51"/>
      <c r="F60" s="52"/>
      <c r="G60" s="126" t="str">
        <f>VLOOKUP(AG76,AG6:AR99,$AE$1+1,FALSE)</f>
        <v>Elektrisch- oder Haspelkettenbedient</v>
      </c>
      <c r="H60" s="127"/>
      <c r="I60" s="127"/>
      <c r="J60" s="127"/>
      <c r="K60" s="127"/>
      <c r="L60" s="128"/>
      <c r="M60" s="53"/>
      <c r="N60" s="51"/>
      <c r="O60" s="58"/>
      <c r="P60" s="59" t="str">
        <f>IF(OR(K3="",K5="",P58=""),"",K5+P58+70)</f>
        <v/>
      </c>
      <c r="R60" t="str">
        <f>AG33</f>
        <v>Montagefläche für Schaltkasten, Abmessungen 250 x 400 mm</v>
      </c>
      <c r="AA60" s="1"/>
      <c r="AB60" s="60"/>
      <c r="AG60" t="str">
        <f t="shared" ref="AG60:AG72" si="1">VLOOKUP(AH60,AH60:AR152,$AE$1,FALSE)</f>
        <v>MASSE in mm</v>
      </c>
      <c r="AH60" t="s">
        <v>367</v>
      </c>
      <c r="AI60" t="s">
        <v>368</v>
      </c>
      <c r="AJ60" t="s">
        <v>369</v>
      </c>
      <c r="AK60" t="s">
        <v>370</v>
      </c>
      <c r="AL60" t="s">
        <v>371</v>
      </c>
      <c r="AM60" t="s">
        <v>372</v>
      </c>
      <c r="AN60" t="s">
        <v>373</v>
      </c>
      <c r="AO60" t="s">
        <v>374</v>
      </c>
      <c r="AP60" t="s">
        <v>375</v>
      </c>
    </row>
    <row r="61" spans="1:42" ht="15.75" thickBot="1" x14ac:dyDescent="0.3">
      <c r="B61" s="61" t="s">
        <v>376</v>
      </c>
      <c r="C61" s="1" t="str">
        <f>VLOOKUP(AG67,AG7:AR100,$AE$1+1,FALSE)</f>
        <v>Freiraum LINKS</v>
      </c>
      <c r="D61" s="51"/>
      <c r="E61" s="51"/>
      <c r="F61" s="52"/>
      <c r="G61" s="53" t="s">
        <v>377</v>
      </c>
      <c r="H61" s="62" t="str">
        <f>AG112</f>
        <v>Seine ohne Antrieb</v>
      </c>
      <c r="I61" s="51"/>
      <c r="J61" s="51"/>
      <c r="K61" s="51"/>
      <c r="L61" s="52" t="s">
        <v>361</v>
      </c>
      <c r="M61" s="129" t="str">
        <f>VLOOKUP(AG82,AG6:AR99,$AE$1+1,FALSE)</f>
        <v>Mitte Achse zum Sturz</v>
      </c>
      <c r="N61" s="130"/>
      <c r="O61" s="130"/>
      <c r="P61" s="131"/>
      <c r="R61" s="106" t="str">
        <f>VLOOKUP(AG85,AG2:AR96,$AE$1+1,FALSE)</f>
        <v>Aufgestellt:</v>
      </c>
      <c r="S61" s="107"/>
      <c r="T61" s="106" t="str">
        <f>VLOOKUP(AG86,AG2:AR96,$AE$1+1,FALSE)</f>
        <v>Bereinigt:</v>
      </c>
      <c r="U61" s="107"/>
      <c r="V61" s="106" t="str">
        <f>VLOOKUP(AG87,AG2:AR96,$AE$1+1,FALSE)</f>
        <v>Bereinigt am:</v>
      </c>
      <c r="W61" s="107"/>
      <c r="X61" s="106" t="str">
        <f>VLOOKUP(AG88,AG2:AR96,$AE$1+1,FALSE)</f>
        <v>Dateiname:</v>
      </c>
      <c r="Y61" s="107"/>
      <c r="Z61" s="63" t="str">
        <f>VLOOKUP(AG89,AG2:AR96,$AE$1+1,FALSE)</f>
        <v>Datum:</v>
      </c>
      <c r="AA61" s="53" t="str">
        <f>VLOOKUP(AG90,AG2:AR96,$AE$1+1,FALSE)</f>
        <v>Massst.:</v>
      </c>
      <c r="AB61" s="18" t="str">
        <f>VLOOKUP(AG91,AG2:AR96,$AE$1+1,FALSE)</f>
        <v>Format:</v>
      </c>
      <c r="AG61" t="str">
        <f t="shared" si="1"/>
        <v>Lichte Breite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t="s">
        <v>29</v>
      </c>
      <c r="AN61" t="s">
        <v>30</v>
      </c>
      <c r="AO61" t="s">
        <v>31</v>
      </c>
      <c r="AP61" t="s">
        <v>378</v>
      </c>
    </row>
    <row r="62" spans="1:42" ht="15.75" thickBot="1" x14ac:dyDescent="0.3">
      <c r="B62" s="53" t="s">
        <v>379</v>
      </c>
      <c r="C62" s="1" t="str">
        <f>VLOOKUP(AG68,AG8:AR101,$AE$1+1,FALSE)</f>
        <v>Freiraum RECHTS</v>
      </c>
      <c r="D62" s="1"/>
      <c r="F62" s="60"/>
      <c r="G62" s="61" t="s">
        <v>380</v>
      </c>
      <c r="H62" s="64" t="str">
        <f>AG112</f>
        <v>Seine ohne Antrieb</v>
      </c>
      <c r="I62" s="51"/>
      <c r="J62" s="51"/>
      <c r="L62" t="s">
        <v>381</v>
      </c>
      <c r="M62" s="53" t="s">
        <v>382</v>
      </c>
      <c r="N62" s="51"/>
      <c r="O62" s="51"/>
      <c r="P62" s="52">
        <v>110</v>
      </c>
      <c r="R62" s="106" t="s">
        <v>383</v>
      </c>
      <c r="S62" s="107"/>
      <c r="T62" s="106" t="s">
        <v>384</v>
      </c>
      <c r="U62" s="107"/>
      <c r="V62" s="110">
        <v>44147</v>
      </c>
      <c r="W62" s="107"/>
      <c r="X62" s="106" t="s">
        <v>385</v>
      </c>
      <c r="Y62" s="107"/>
      <c r="Z62" s="65">
        <v>44147</v>
      </c>
      <c r="AA62" s="61" t="s">
        <v>386</v>
      </c>
      <c r="AB62" s="66" t="s">
        <v>387</v>
      </c>
      <c r="AG62" t="str">
        <f t="shared" si="1"/>
        <v>Lichte Höhe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388</v>
      </c>
    </row>
    <row r="63" spans="1:42" ht="15.75" customHeight="1" thickBot="1" x14ac:dyDescent="0.3">
      <c r="B63" s="53" t="s">
        <v>389</v>
      </c>
      <c r="C63" s="1" t="str">
        <f>VLOOKUP(AG69,AG10:AR102,$AE$1+1,FALSE)</f>
        <v>Einbautiefe</v>
      </c>
      <c r="D63" s="51"/>
      <c r="E63" s="51"/>
      <c r="F63" s="52"/>
      <c r="G63" s="53" t="s">
        <v>360</v>
      </c>
      <c r="H63" s="51" t="str">
        <f>VLOOKUP(AG77,AG6:AR99,$AE$1+1,FALSE)</f>
        <v>Motor-oder Kettenseite</v>
      </c>
      <c r="I63" s="1"/>
      <c r="K63" s="51"/>
      <c r="L63" s="51" t="s">
        <v>390</v>
      </c>
      <c r="M63" s="111" t="str">
        <f>AG116</f>
        <v>Aufhängepunkt für Vierkantrohr</v>
      </c>
      <c r="N63" s="112"/>
      <c r="O63" s="112"/>
      <c r="P63" s="113"/>
      <c r="R63" s="114" t="s">
        <v>391</v>
      </c>
      <c r="S63" s="115"/>
      <c r="T63" s="115"/>
      <c r="U63" s="116"/>
      <c r="V63" s="120" t="str">
        <f>VLOOKUP(AG92,AG2:AR96,$AE$1+1,FALSE)</f>
        <v>BAUBEREITSCHAFT                           NIEDRIGSTURZ BESCHLAG (LL-CE)</v>
      </c>
      <c r="W63" s="121"/>
      <c r="X63" s="121"/>
      <c r="Y63" s="121"/>
      <c r="Z63" s="121"/>
      <c r="AA63" s="121"/>
      <c r="AB63" s="122"/>
      <c r="AG63" t="str">
        <f t="shared" si="1"/>
        <v>Höhe der Führung</v>
      </c>
      <c r="AH63" t="s">
        <v>392</v>
      </c>
      <c r="AI63" t="s">
        <v>392</v>
      </c>
      <c r="AJ63" t="s">
        <v>393</v>
      </c>
      <c r="AK63" t="s">
        <v>394</v>
      </c>
      <c r="AL63" t="s">
        <v>395</v>
      </c>
      <c r="AM63" t="s">
        <v>392</v>
      </c>
      <c r="AN63" t="s">
        <v>396</v>
      </c>
      <c r="AO63" t="s">
        <v>397</v>
      </c>
      <c r="AP63" t="s">
        <v>398</v>
      </c>
    </row>
    <row r="64" spans="1:42" ht="15.75" customHeight="1" thickBot="1" x14ac:dyDescent="0.3">
      <c r="B64" s="53" t="s">
        <v>399</v>
      </c>
      <c r="C64" s="50" t="str">
        <f>VLOOKUP(AG70,AG14:AR104,$AE$1+1,FALSE)</f>
        <v>1. Aufhängepunkt</v>
      </c>
      <c r="D64" s="51"/>
      <c r="E64" s="51"/>
      <c r="F64" s="52"/>
      <c r="G64" s="53" t="s">
        <v>364</v>
      </c>
      <c r="H64" s="51" t="str">
        <f>VLOOKUP(AG78,AG6:AR99,$AE$1+1,FALSE)</f>
        <v>Einbautiefe</v>
      </c>
      <c r="I64" s="51"/>
      <c r="J64" s="51"/>
      <c r="K64" s="58" t="s">
        <v>365</v>
      </c>
      <c r="L64" s="52" t="str">
        <f>IF(OR(K3="",K5="",P58=""),"",K5+1250)</f>
        <v/>
      </c>
      <c r="M64" s="53" t="s">
        <v>400</v>
      </c>
      <c r="N64" s="51"/>
      <c r="O64" s="67" t="s">
        <v>401</v>
      </c>
      <c r="P64" s="52" t="str">
        <f>IF(OR(K3="",K5="",P58=""),"",K5+1020)</f>
        <v/>
      </c>
      <c r="R64" s="117"/>
      <c r="S64" s="118"/>
      <c r="T64" s="118"/>
      <c r="U64" s="119"/>
      <c r="V64" s="123"/>
      <c r="W64" s="124"/>
      <c r="X64" s="124"/>
      <c r="Y64" s="124"/>
      <c r="Z64" s="124"/>
      <c r="AA64" s="124"/>
      <c r="AB64" s="125"/>
      <c r="AG64" t="str">
        <f t="shared" si="1"/>
        <v>Höhe Innenraum</v>
      </c>
      <c r="AH64" t="s">
        <v>402</v>
      </c>
      <c r="AI64" t="s">
        <v>403</v>
      </c>
      <c r="AJ64" t="s">
        <v>404</v>
      </c>
      <c r="AK64" t="s">
        <v>405</v>
      </c>
      <c r="AL64" t="s">
        <v>406</v>
      </c>
      <c r="AM64" t="s">
        <v>407</v>
      </c>
      <c r="AN64" t="s">
        <v>408</v>
      </c>
      <c r="AO64" t="s">
        <v>409</v>
      </c>
      <c r="AP64" t="s">
        <v>410</v>
      </c>
    </row>
    <row r="65" spans="1:90" ht="15.75" customHeight="1" thickBot="1" x14ac:dyDescent="0.3">
      <c r="B65" s="53" t="s">
        <v>411</v>
      </c>
      <c r="C65" s="1" t="str">
        <f>VLOOKUP(AG71,AG15:AR105,$AE$1+1,FALSE)</f>
        <v>2. Aufhängepunkt</v>
      </c>
      <c r="D65" s="51"/>
      <c r="E65" s="51"/>
      <c r="F65" s="52"/>
      <c r="G65" s="54" t="str">
        <f>IF(AND(J68&gt;=3000),"",VLOOKUP(AG79,AG6:AR99,$AE$1+1,FALSE))</f>
        <v/>
      </c>
      <c r="H65" s="54"/>
      <c r="I65" s="54" t="str">
        <f>IF(J68&gt;=3000,"","D&lt;=3000")</f>
        <v/>
      </c>
      <c r="J65" s="54"/>
      <c r="K65" s="54"/>
      <c r="L65" s="56"/>
      <c r="M65" s="68" t="str">
        <f>IF(J68&gt;=4500,VLOOKUP(AG79,AG6:AR99,$AE$1+1,FALSE),"")</f>
        <v>Aufhängepunkte, wenn</v>
      </c>
      <c r="N65" s="69"/>
      <c r="O65" s="92" t="str">
        <f>IF(J68&gt;=4500,"D&gt;=4500","")</f>
        <v>D&gt;=4500</v>
      </c>
      <c r="P65" s="93"/>
      <c r="R65" s="27"/>
      <c r="V65" s="94" t="str">
        <f>AG13</f>
        <v>NIEDRIGSTURZ BESCHLAG (LL-CE)</v>
      </c>
      <c r="W65" s="95"/>
      <c r="X65" s="95"/>
      <c r="Y65" s="95"/>
      <c r="Z65" s="95"/>
      <c r="AA65" s="95"/>
      <c r="AB65" s="96"/>
      <c r="AG65" t="str">
        <f t="shared" si="1"/>
        <v>Freiraum über Sturz</v>
      </c>
      <c r="AH65" t="s">
        <v>412</v>
      </c>
      <c r="AI65" t="s">
        <v>413</v>
      </c>
      <c r="AJ65" t="s">
        <v>414</v>
      </c>
      <c r="AK65" t="s">
        <v>415</v>
      </c>
      <c r="AL65" t="s">
        <v>416</v>
      </c>
      <c r="AM65" t="s">
        <v>417</v>
      </c>
      <c r="AN65" t="s">
        <v>418</v>
      </c>
      <c r="AO65" t="s">
        <v>419</v>
      </c>
      <c r="AP65" t="s">
        <v>420</v>
      </c>
    </row>
    <row r="66" spans="1:90" ht="15.75" customHeight="1" thickBot="1" x14ac:dyDescent="0.3">
      <c r="B66" s="53" t="s">
        <v>421</v>
      </c>
      <c r="C66" s="70" t="str">
        <f>AG116</f>
        <v>Aufhängepunkt für Vierkantrohr</v>
      </c>
      <c r="E66" s="1"/>
      <c r="F66" s="52"/>
      <c r="G66" s="53" t="str">
        <f>IF(J68&gt;=3000,"","X")</f>
        <v/>
      </c>
      <c r="H66" s="51" t="str">
        <f>IF(J68&gt;=3000,"",VLOOKUP(AG80,AG6:AR99,$AE$1+1,FALSE))</f>
        <v/>
      </c>
      <c r="I66" s="51"/>
      <c r="J66" s="51"/>
      <c r="K66" s="58" t="str">
        <f>IF(J68&gt;=3000,"","H")</f>
        <v/>
      </c>
      <c r="L66" s="52" t="str">
        <f>IF(J68&gt;=3000,"",IF(OR(K3="",K5="",P58=""),"",K5))</f>
        <v/>
      </c>
      <c r="M66" s="53" t="str">
        <f>IF(J68&gt;=4500,"X","")</f>
        <v>X</v>
      </c>
      <c r="N66" s="71" t="str">
        <f>IF(J68&gt;=4500,AG70,"")</f>
        <v>1. Aufhängepunkt</v>
      </c>
      <c r="O66" s="72" t="str">
        <f>IF(J68&gt;=4500,"H","")</f>
        <v>H</v>
      </c>
      <c r="P66" s="52">
        <f>IF(J68&gt;=4500,K5,"")</f>
        <v>0</v>
      </c>
      <c r="R66" s="27"/>
      <c r="V66" s="94"/>
      <c r="W66" s="95"/>
      <c r="X66" s="95"/>
      <c r="Y66" s="95"/>
      <c r="Z66" s="95"/>
      <c r="AA66" s="95"/>
      <c r="AB66" s="96"/>
      <c r="AG66" t="str">
        <f t="shared" si="1"/>
        <v>Höhe über Montagefläche Loch</v>
      </c>
      <c r="AH66" t="s">
        <v>422</v>
      </c>
      <c r="AI66" t="s">
        <v>423</v>
      </c>
      <c r="AJ66" t="s">
        <v>424</v>
      </c>
      <c r="AK66" t="s">
        <v>425</v>
      </c>
      <c r="AL66" t="s">
        <v>426</v>
      </c>
      <c r="AM66" t="s">
        <v>427</v>
      </c>
      <c r="AN66" t="s">
        <v>428</v>
      </c>
      <c r="AO66" t="s">
        <v>429</v>
      </c>
      <c r="AP66" t="s">
        <v>430</v>
      </c>
    </row>
    <row r="67" spans="1:90" ht="15.75" customHeight="1" thickBot="1" x14ac:dyDescent="0.3">
      <c r="B67" s="73"/>
      <c r="C67" s="50"/>
      <c r="D67" s="51"/>
      <c r="E67" s="51"/>
      <c r="F67" s="52"/>
      <c r="G67" s="10" t="str">
        <f>IF(AND(J68&gt;=3000,J68&lt;4500),VLOOKUP(AG79,AG6:AR99,$AE$1+1,FALSE),"")</f>
        <v/>
      </c>
      <c r="H67" s="10"/>
      <c r="I67" s="54" t="str">
        <f>IF(AND(J68&gt;=3000,J68&lt;4500),"3000=&lt;D&lt;4500","")</f>
        <v/>
      </c>
      <c r="J67" s="10"/>
      <c r="K67" s="10"/>
      <c r="L67" s="10"/>
      <c r="M67" s="53" t="str">
        <f>IF(J68&gt;=4500,"Y","")</f>
        <v>Y</v>
      </c>
      <c r="N67" s="71" t="str">
        <f>IF(J68&gt;=4500,AG71,"")</f>
        <v>2. Aufhängepunkt</v>
      </c>
      <c r="O67" s="74" t="str">
        <f>IF(J68&gt;=4500,"(X/3)*2","")</f>
        <v>(X/3)*2</v>
      </c>
      <c r="P67" s="75">
        <f>IF(J68&gt;=4500,(P66/3)*2,"")</f>
        <v>0</v>
      </c>
      <c r="R67" s="27"/>
      <c r="V67" s="97"/>
      <c r="W67" s="98"/>
      <c r="X67" s="98"/>
      <c r="Y67" s="98"/>
      <c r="Z67" s="98"/>
      <c r="AA67" s="98"/>
      <c r="AB67" s="99"/>
      <c r="AG67" t="str">
        <f t="shared" si="1"/>
        <v>Freiraum LINKS</v>
      </c>
      <c r="AH67" t="s">
        <v>431</v>
      </c>
      <c r="AI67" t="s">
        <v>432</v>
      </c>
      <c r="AJ67" t="s">
        <v>433</v>
      </c>
      <c r="AK67" t="s">
        <v>434</v>
      </c>
      <c r="AL67" t="s">
        <v>435</v>
      </c>
      <c r="AM67" t="s">
        <v>436</v>
      </c>
      <c r="AN67" t="s">
        <v>437</v>
      </c>
      <c r="AO67" t="s">
        <v>438</v>
      </c>
      <c r="AP67" t="s">
        <v>439</v>
      </c>
    </row>
    <row r="68" spans="1:90" ht="15.75" thickBot="1" x14ac:dyDescent="0.3">
      <c r="A68" s="5"/>
      <c r="B68" s="76"/>
      <c r="D68" s="1"/>
      <c r="E68" s="1"/>
      <c r="F68" s="60"/>
      <c r="G68" s="53" t="str">
        <f>IF(AND(J68&gt;=3000,J68&lt;4500),"X","")</f>
        <v/>
      </c>
      <c r="H68" s="51" t="str">
        <f>IF(AND(J68&gt;=3000,J68&lt;4500),(VLOOKUP(AG70,AG6:AR99,$AE$1+1,FALSE)),"")</f>
        <v/>
      </c>
      <c r="J68" s="77" t="str">
        <f>IF($K$7=$AG$102,$L$59,$L$64)</f>
        <v/>
      </c>
      <c r="K68" s="58" t="str">
        <f>IF(AND(J68&gt;=3000,J68&lt;4500),"H","")</f>
        <v/>
      </c>
      <c r="L68" s="52" t="str">
        <f>IF(AND(J68&gt;=3000,J68&lt;4500),IF(OR(K3="",K5="",P58=""),"",K5),"")</f>
        <v/>
      </c>
      <c r="M68" s="53" t="str">
        <f>IF(J68&gt;=4500,"Y2","")</f>
        <v>Y2</v>
      </c>
      <c r="N68" s="71" t="str">
        <f>IF(J68&gt;=4500,AG72,"")</f>
        <v>3. Aufhängepunkt</v>
      </c>
      <c r="O68" s="78" t="str">
        <f>IF(J68&gt;=4500, "X/3","")</f>
        <v>X/3</v>
      </c>
      <c r="P68" s="75">
        <f>IF(J68&gt;=4500,P66/3,"")</f>
        <v>0</v>
      </c>
      <c r="R68" s="27"/>
      <c r="V68" s="100" t="str">
        <f>AG13</f>
        <v>NIEDRIGSTURZ BESCHLAG (LL-CE)</v>
      </c>
      <c r="W68" s="101"/>
      <c r="X68" s="101"/>
      <c r="Y68" s="102"/>
      <c r="Z68" s="53" t="str">
        <f>VLOOKUP(AG95,AG2:AR96,$AE$1+1,FALSE)</f>
        <v>Kode:</v>
      </c>
      <c r="AA68" s="106" t="str">
        <f>VLOOKUP(AG96,AG2:AR96,$AE$1+1,FALSE)</f>
        <v>Version:</v>
      </c>
      <c r="AB68" s="107"/>
      <c r="AG68" t="str">
        <f t="shared" si="1"/>
        <v>Freiraum RECHTS</v>
      </c>
      <c r="AH68" t="s">
        <v>440</v>
      </c>
      <c r="AI68" t="s">
        <v>441</v>
      </c>
      <c r="AJ68" t="s">
        <v>442</v>
      </c>
      <c r="AK68" t="s">
        <v>443</v>
      </c>
      <c r="AL68" t="s">
        <v>444</v>
      </c>
      <c r="AM68" t="s">
        <v>445</v>
      </c>
      <c r="AN68" t="s">
        <v>446</v>
      </c>
      <c r="AO68" t="s">
        <v>447</v>
      </c>
      <c r="AP68" t="s">
        <v>448</v>
      </c>
    </row>
    <row r="69" spans="1:90" ht="15.75" thickBot="1" x14ac:dyDescent="0.3">
      <c r="B69" s="73"/>
      <c r="C69" s="51"/>
      <c r="D69" s="51"/>
      <c r="E69" s="51"/>
      <c r="F69" s="52"/>
      <c r="G69" s="53" t="str">
        <f>IF(AND(J68&gt;=3000,J68&lt;4500),"Y","")</f>
        <v/>
      </c>
      <c r="H69" s="51" t="str">
        <f>IF(AND(J68&gt;=3000,J68&lt;4500),(VLOOKUP(AG71,AG6:AR99,$AE$1+1,FALSE)),"")</f>
        <v/>
      </c>
      <c r="I69" s="51"/>
      <c r="J69" s="51"/>
      <c r="K69" s="58" t="str">
        <f>IF(AND(J68&gt;=3000,J68&lt;4500),"1/2 X","")</f>
        <v/>
      </c>
      <c r="L69" s="52" t="str">
        <f>IF(AND(J68&gt;=3000,J68&lt;4500),(IF(OR(K3="",K5="",P58=""),"",L68/2)),"")</f>
        <v/>
      </c>
      <c r="M69" s="76"/>
      <c r="N69" s="1"/>
      <c r="O69" s="1"/>
      <c r="P69" s="60"/>
      <c r="Q69" s="1"/>
      <c r="R69" s="79"/>
      <c r="S69" s="1"/>
      <c r="T69" s="1"/>
      <c r="U69" s="1"/>
      <c r="V69" s="103"/>
      <c r="W69" s="104"/>
      <c r="X69" s="104"/>
      <c r="Y69" s="105"/>
      <c r="Z69" s="80" t="s">
        <v>449</v>
      </c>
      <c r="AA69" s="108">
        <v>2046</v>
      </c>
      <c r="AB69" s="109"/>
      <c r="AG69" t="str">
        <f t="shared" si="1"/>
        <v>Einbautiefe</v>
      </c>
      <c r="AH69" t="s">
        <v>450</v>
      </c>
      <c r="AI69" t="s">
        <v>451</v>
      </c>
      <c r="AJ69" t="s">
        <v>452</v>
      </c>
      <c r="AK69" t="s">
        <v>453</v>
      </c>
      <c r="AL69" t="s">
        <v>454</v>
      </c>
      <c r="AM69" t="s">
        <v>455</v>
      </c>
      <c r="AN69" t="s">
        <v>456</v>
      </c>
      <c r="AO69" t="s">
        <v>457</v>
      </c>
      <c r="AP69" t="s">
        <v>458</v>
      </c>
    </row>
    <row r="70" spans="1:90" x14ac:dyDescent="0.25">
      <c r="V70" s="4"/>
      <c r="W70" s="4"/>
      <c r="X70" s="4"/>
      <c r="Y70" s="4"/>
      <c r="AG70" t="str">
        <f t="shared" si="1"/>
        <v>1. Aufhängepunkt</v>
      </c>
      <c r="AH70" t="s">
        <v>459</v>
      </c>
      <c r="AI70" t="s">
        <v>460</v>
      </c>
      <c r="AJ70" t="s">
        <v>461</v>
      </c>
      <c r="AK70" t="s">
        <v>462</v>
      </c>
      <c r="AL70" t="s">
        <v>463</v>
      </c>
      <c r="AM70" t="s">
        <v>464</v>
      </c>
      <c r="AN70" t="s">
        <v>465</v>
      </c>
      <c r="AO70" t="s">
        <v>466</v>
      </c>
      <c r="AP70" t="s">
        <v>467</v>
      </c>
    </row>
    <row r="71" spans="1:90" x14ac:dyDescent="0.25">
      <c r="V71" s="4"/>
      <c r="W71" s="4"/>
      <c r="X71" s="4"/>
      <c r="Y71" s="4"/>
      <c r="AG71" t="str">
        <f t="shared" si="1"/>
        <v>2. Aufhängepunkt</v>
      </c>
      <c r="AH71" t="s">
        <v>468</v>
      </c>
      <c r="AI71" t="s">
        <v>469</v>
      </c>
      <c r="AJ71" t="s">
        <v>470</v>
      </c>
      <c r="AK71" t="s">
        <v>471</v>
      </c>
      <c r="AL71" t="s">
        <v>472</v>
      </c>
      <c r="AM71" t="s">
        <v>473</v>
      </c>
      <c r="AN71" t="s">
        <v>474</v>
      </c>
      <c r="AO71" t="s">
        <v>475</v>
      </c>
      <c r="AP71" t="s">
        <v>476</v>
      </c>
    </row>
    <row r="72" spans="1:90" x14ac:dyDescent="0.25">
      <c r="V72" s="4"/>
      <c r="W72" s="4"/>
      <c r="X72" s="4"/>
      <c r="Y72" s="4"/>
      <c r="AG72" t="str">
        <f t="shared" si="1"/>
        <v>3. Aufhängepunkt</v>
      </c>
      <c r="AH72" t="s">
        <v>477</v>
      </c>
      <c r="AI72" t="s">
        <v>478</v>
      </c>
      <c r="AJ72" t="s">
        <v>479</v>
      </c>
      <c r="AK72" t="s">
        <v>480</v>
      </c>
      <c r="AL72" t="s">
        <v>481</v>
      </c>
      <c r="AM72" t="s">
        <v>482</v>
      </c>
      <c r="AN72" t="s">
        <v>483</v>
      </c>
      <c r="AO72" t="s">
        <v>484</v>
      </c>
      <c r="AP72" t="s">
        <v>485</v>
      </c>
    </row>
    <row r="73" spans="1:90" x14ac:dyDescent="0.25">
      <c r="AG73" t="str">
        <f>VLOOKUP(AH73,AH73:AR164,$AE$1,FALSE)</f>
        <v>Freiplatz auf der Mountageplatz</v>
      </c>
      <c r="AH73" t="s">
        <v>412</v>
      </c>
      <c r="AI73" t="s">
        <v>486</v>
      </c>
      <c r="AJ73" t="s">
        <v>487</v>
      </c>
      <c r="AK73" t="s">
        <v>488</v>
      </c>
      <c r="AL73" t="s">
        <v>489</v>
      </c>
      <c r="AM73" t="s">
        <v>490</v>
      </c>
      <c r="AN73" t="s">
        <v>491</v>
      </c>
      <c r="AO73" t="s">
        <v>492</v>
      </c>
      <c r="AP73" t="s">
        <v>493</v>
      </c>
      <c r="AS73" s="21"/>
    </row>
    <row r="74" spans="1:90" x14ac:dyDescent="0.25">
      <c r="G74" s="4"/>
      <c r="AG74" t="str">
        <f t="shared" ref="AG74:AG122" si="2">VLOOKUP(AH74,AH74:AR165,$AE$1,FALSE)</f>
        <v>Handbedienung</v>
      </c>
      <c r="AH74" t="s">
        <v>494</v>
      </c>
      <c r="AI74" t="s">
        <v>495</v>
      </c>
      <c r="AJ74" t="s">
        <v>496</v>
      </c>
      <c r="AK74" t="s">
        <v>497</v>
      </c>
      <c r="AL74" t="s">
        <v>498</v>
      </c>
      <c r="AM74" t="s">
        <v>499</v>
      </c>
      <c r="AN74" t="s">
        <v>500</v>
      </c>
      <c r="AO74" t="s">
        <v>501</v>
      </c>
      <c r="AP74" t="s">
        <v>502</v>
      </c>
    </row>
    <row r="75" spans="1:90" x14ac:dyDescent="0.25">
      <c r="AG75" t="str">
        <f t="shared" si="2"/>
        <v>Beide Seiten</v>
      </c>
      <c r="AH75" s="21" t="s">
        <v>503</v>
      </c>
      <c r="AI75" s="21" t="s">
        <v>504</v>
      </c>
      <c r="AJ75" s="21" t="s">
        <v>505</v>
      </c>
      <c r="AK75" s="21" t="s">
        <v>506</v>
      </c>
      <c r="AL75" s="21" t="s">
        <v>507</v>
      </c>
      <c r="AM75" s="21" t="s">
        <v>508</v>
      </c>
      <c r="AN75" t="s">
        <v>509</v>
      </c>
      <c r="AO75" t="s">
        <v>510</v>
      </c>
      <c r="AP75" t="s">
        <v>511</v>
      </c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</row>
    <row r="76" spans="1:90" x14ac:dyDescent="0.25">
      <c r="AG76" t="str">
        <f t="shared" si="2"/>
        <v>Elektrisch- oder Haspelkettenbedient</v>
      </c>
      <c r="AH76" t="s">
        <v>512</v>
      </c>
      <c r="AI76" t="s">
        <v>513</v>
      </c>
      <c r="AJ76" t="s">
        <v>514</v>
      </c>
      <c r="AK76" t="s">
        <v>515</v>
      </c>
      <c r="AL76" t="s">
        <v>516</v>
      </c>
      <c r="AM76" t="s">
        <v>517</v>
      </c>
      <c r="AN76" t="s">
        <v>518</v>
      </c>
      <c r="AO76" t="s">
        <v>519</v>
      </c>
      <c r="AP76" t="s">
        <v>520</v>
      </c>
    </row>
    <row r="77" spans="1:90" x14ac:dyDescent="0.25">
      <c r="AG77" t="str">
        <f t="shared" si="2"/>
        <v>Motor-oder Kettenseite</v>
      </c>
      <c r="AH77" t="s">
        <v>521</v>
      </c>
      <c r="AI77" t="s">
        <v>522</v>
      </c>
      <c r="AJ77" t="s">
        <v>523</v>
      </c>
      <c r="AK77" t="s">
        <v>524</v>
      </c>
      <c r="AL77" t="s">
        <v>525</v>
      </c>
      <c r="AM77" t="s">
        <v>526</v>
      </c>
      <c r="AN77" t="s">
        <v>527</v>
      </c>
      <c r="AO77" t="s">
        <v>528</v>
      </c>
      <c r="AP77" t="s">
        <v>529</v>
      </c>
    </row>
    <row r="78" spans="1:90" x14ac:dyDescent="0.25">
      <c r="AG78" t="str">
        <f t="shared" si="2"/>
        <v>Einbautiefe</v>
      </c>
      <c r="AH78" t="s">
        <v>450</v>
      </c>
      <c r="AI78" t="s">
        <v>451</v>
      </c>
      <c r="AJ78" t="s">
        <v>452</v>
      </c>
      <c r="AK78" t="s">
        <v>530</v>
      </c>
      <c r="AL78" t="s">
        <v>454</v>
      </c>
      <c r="AM78" t="s">
        <v>455</v>
      </c>
      <c r="AN78" t="s">
        <v>456</v>
      </c>
      <c r="AO78" t="s">
        <v>531</v>
      </c>
      <c r="AP78" t="s">
        <v>458</v>
      </c>
    </row>
    <row r="79" spans="1:90" x14ac:dyDescent="0.25">
      <c r="AG79" t="str">
        <f t="shared" si="2"/>
        <v>Aufhängepunkte, wenn</v>
      </c>
      <c r="AH79" t="s">
        <v>532</v>
      </c>
      <c r="AI79" t="s">
        <v>533</v>
      </c>
      <c r="AJ79" t="s">
        <v>534</v>
      </c>
      <c r="AK79" t="s">
        <v>535</v>
      </c>
      <c r="AL79" t="s">
        <v>536</v>
      </c>
      <c r="AM79" t="s">
        <v>537</v>
      </c>
      <c r="AN79" t="s">
        <v>538</v>
      </c>
      <c r="AO79" t="s">
        <v>539</v>
      </c>
      <c r="AP79" t="s">
        <v>540</v>
      </c>
    </row>
    <row r="80" spans="1:90" x14ac:dyDescent="0.25">
      <c r="AG80" t="str">
        <f t="shared" si="2"/>
        <v>Aufhängepunkte</v>
      </c>
      <c r="AH80" t="s">
        <v>541</v>
      </c>
      <c r="AI80" t="s">
        <v>542</v>
      </c>
      <c r="AJ80" t="s">
        <v>543</v>
      </c>
      <c r="AK80" t="s">
        <v>544</v>
      </c>
      <c r="AL80" t="s">
        <v>545</v>
      </c>
      <c r="AM80" t="s">
        <v>546</v>
      </c>
      <c r="AN80" t="s">
        <v>547</v>
      </c>
      <c r="AO80" t="s">
        <v>548</v>
      </c>
      <c r="AP80" t="s">
        <v>549</v>
      </c>
    </row>
    <row r="81" spans="16:42" x14ac:dyDescent="0.25">
      <c r="AG81" t="str">
        <f t="shared" si="2"/>
        <v>Freiraum über Sturz</v>
      </c>
      <c r="AH81" t="s">
        <v>412</v>
      </c>
      <c r="AI81" t="s">
        <v>413</v>
      </c>
      <c r="AJ81" t="s">
        <v>414</v>
      </c>
      <c r="AK81" t="s">
        <v>550</v>
      </c>
      <c r="AL81" t="s">
        <v>416</v>
      </c>
      <c r="AM81" t="s">
        <v>417</v>
      </c>
      <c r="AN81" t="s">
        <v>551</v>
      </c>
      <c r="AO81" t="s">
        <v>552</v>
      </c>
      <c r="AP81" t="s">
        <v>420</v>
      </c>
    </row>
    <row r="82" spans="16:42" x14ac:dyDescent="0.25">
      <c r="P82" s="81"/>
      <c r="Q82" s="81"/>
      <c r="AG82" t="str">
        <f t="shared" si="2"/>
        <v>Mitte Achse zum Sturz</v>
      </c>
      <c r="AH82" t="s">
        <v>553</v>
      </c>
      <c r="AI82" t="s">
        <v>554</v>
      </c>
      <c r="AJ82" t="s">
        <v>555</v>
      </c>
      <c r="AK82" t="s">
        <v>556</v>
      </c>
      <c r="AL82" t="s">
        <v>557</v>
      </c>
      <c r="AM82" t="s">
        <v>558</v>
      </c>
      <c r="AN82" t="s">
        <v>559</v>
      </c>
      <c r="AO82" t="s">
        <v>560</v>
      </c>
      <c r="AP82" t="s">
        <v>561</v>
      </c>
    </row>
    <row r="85" spans="16:42" x14ac:dyDescent="0.25">
      <c r="AG85" t="str">
        <f t="shared" si="2"/>
        <v>Aufgestellt:</v>
      </c>
      <c r="AH85" t="s">
        <v>562</v>
      </c>
      <c r="AI85" t="s">
        <v>563</v>
      </c>
      <c r="AJ85" t="s">
        <v>564</v>
      </c>
      <c r="AK85" t="s">
        <v>565</v>
      </c>
      <c r="AL85" t="s">
        <v>566</v>
      </c>
      <c r="AM85" t="s">
        <v>567</v>
      </c>
      <c r="AN85" t="s">
        <v>568</v>
      </c>
      <c r="AO85" t="s">
        <v>569</v>
      </c>
      <c r="AP85" t="s">
        <v>570</v>
      </c>
    </row>
    <row r="86" spans="16:42" x14ac:dyDescent="0.25">
      <c r="AG86" t="str">
        <f t="shared" si="2"/>
        <v>Bereinigt:</v>
      </c>
      <c r="AH86" t="s">
        <v>571</v>
      </c>
      <c r="AI86" t="s">
        <v>572</v>
      </c>
      <c r="AJ86" t="s">
        <v>573</v>
      </c>
      <c r="AK86" t="s">
        <v>574</v>
      </c>
      <c r="AL86" t="s">
        <v>575</v>
      </c>
      <c r="AM86" t="s">
        <v>576</v>
      </c>
      <c r="AN86" t="s">
        <v>577</v>
      </c>
      <c r="AO86" t="s">
        <v>578</v>
      </c>
      <c r="AP86" t="s">
        <v>579</v>
      </c>
    </row>
    <row r="87" spans="16:42" x14ac:dyDescent="0.25">
      <c r="AG87" t="str">
        <f t="shared" si="2"/>
        <v>Bereinigt am:</v>
      </c>
      <c r="AH87" t="s">
        <v>580</v>
      </c>
      <c r="AI87" t="s">
        <v>581</v>
      </c>
      <c r="AJ87" t="s">
        <v>582</v>
      </c>
      <c r="AK87" t="s">
        <v>583</v>
      </c>
      <c r="AL87" t="s">
        <v>584</v>
      </c>
      <c r="AM87" t="s">
        <v>585</v>
      </c>
      <c r="AN87" t="s">
        <v>586</v>
      </c>
      <c r="AO87" t="s">
        <v>587</v>
      </c>
      <c r="AP87" t="s">
        <v>588</v>
      </c>
    </row>
    <row r="88" spans="16:42" x14ac:dyDescent="0.25">
      <c r="AG88" t="str">
        <f t="shared" si="2"/>
        <v>Dateiname:</v>
      </c>
      <c r="AH88" t="s">
        <v>589</v>
      </c>
      <c r="AI88" t="s">
        <v>590</v>
      </c>
      <c r="AJ88" t="s">
        <v>591</v>
      </c>
      <c r="AK88" t="s">
        <v>592</v>
      </c>
      <c r="AL88" t="s">
        <v>593</v>
      </c>
      <c r="AM88" t="s">
        <v>594</v>
      </c>
      <c r="AN88" t="s">
        <v>595</v>
      </c>
      <c r="AO88" t="s">
        <v>596</v>
      </c>
      <c r="AP88" t="s">
        <v>597</v>
      </c>
    </row>
    <row r="89" spans="16:42" x14ac:dyDescent="0.25">
      <c r="AG89" t="str">
        <f t="shared" si="2"/>
        <v>Datum:</v>
      </c>
      <c r="AH89" t="s">
        <v>598</v>
      </c>
      <c r="AI89" t="s">
        <v>599</v>
      </c>
      <c r="AJ89" t="s">
        <v>598</v>
      </c>
      <c r="AK89" t="s">
        <v>600</v>
      </c>
      <c r="AL89" t="s">
        <v>601</v>
      </c>
      <c r="AM89" t="s">
        <v>598</v>
      </c>
      <c r="AN89" t="s">
        <v>602</v>
      </c>
      <c r="AO89" t="s">
        <v>603</v>
      </c>
      <c r="AP89" t="s">
        <v>604</v>
      </c>
    </row>
    <row r="90" spans="16:42" x14ac:dyDescent="0.25">
      <c r="AG90" t="str">
        <f t="shared" si="2"/>
        <v>Massst.:</v>
      </c>
      <c r="AH90" t="s">
        <v>605</v>
      </c>
      <c r="AI90" t="s">
        <v>606</v>
      </c>
      <c r="AJ90" t="s">
        <v>607</v>
      </c>
      <c r="AK90" t="s">
        <v>608</v>
      </c>
      <c r="AL90" t="s">
        <v>609</v>
      </c>
      <c r="AM90" t="s">
        <v>610</v>
      </c>
      <c r="AN90" t="s">
        <v>611</v>
      </c>
      <c r="AO90" t="s">
        <v>612</v>
      </c>
      <c r="AP90" t="s">
        <v>613</v>
      </c>
    </row>
    <row r="91" spans="16:42" x14ac:dyDescent="0.25">
      <c r="AG91" t="str">
        <f t="shared" si="2"/>
        <v>Format:</v>
      </c>
      <c r="AH91" t="s">
        <v>614</v>
      </c>
      <c r="AI91" t="s">
        <v>615</v>
      </c>
      <c r="AJ91" t="s">
        <v>616</v>
      </c>
      <c r="AK91" t="s">
        <v>616</v>
      </c>
      <c r="AL91" t="s">
        <v>617</v>
      </c>
      <c r="AM91" t="s">
        <v>615</v>
      </c>
      <c r="AN91" t="s">
        <v>618</v>
      </c>
      <c r="AO91" t="s">
        <v>619</v>
      </c>
      <c r="AP91" t="s">
        <v>620</v>
      </c>
    </row>
    <row r="92" spans="16:42" ht="17.25" customHeight="1" x14ac:dyDescent="0.25">
      <c r="AG92" t="str">
        <f t="shared" si="2"/>
        <v>BAUBEREITSCHAFT                           NIEDRIGSTURZ BESCHLAG (LL-CE)</v>
      </c>
      <c r="AH92" t="s">
        <v>621</v>
      </c>
      <c r="AI92" t="s">
        <v>622</v>
      </c>
      <c r="AJ92" t="s">
        <v>623</v>
      </c>
      <c r="AK92" t="s">
        <v>624</v>
      </c>
      <c r="AL92" t="s">
        <v>625</v>
      </c>
      <c r="AM92" t="s">
        <v>89</v>
      </c>
      <c r="AN92" t="s">
        <v>626</v>
      </c>
      <c r="AO92" t="s">
        <v>627</v>
      </c>
      <c r="AP92" t="s">
        <v>628</v>
      </c>
    </row>
    <row r="93" spans="16:42" x14ac:dyDescent="0.25">
      <c r="AG93" t="str">
        <f t="shared" si="2"/>
        <v xml:space="preserve"> Federn oberhalb des Sturzes </v>
      </c>
      <c r="AH93" t="s">
        <v>629</v>
      </c>
      <c r="AI93" t="s">
        <v>630</v>
      </c>
      <c r="AJ93" t="s">
        <v>631</v>
      </c>
      <c r="AK93" t="s">
        <v>632</v>
      </c>
      <c r="AL93" t="s">
        <v>97</v>
      </c>
      <c r="AM93" t="s">
        <v>98</v>
      </c>
      <c r="AN93" t="s">
        <v>633</v>
      </c>
      <c r="AO93" t="s">
        <v>100</v>
      </c>
      <c r="AP93" t="s">
        <v>101</v>
      </c>
    </row>
    <row r="94" spans="16:42" x14ac:dyDescent="0.25">
      <c r="AG94" t="str">
        <f t="shared" si="2"/>
        <v>VERTIKALER BESCHLAG (VL-T)</v>
      </c>
      <c r="AH94" t="s">
        <v>634</v>
      </c>
      <c r="AI94" t="s">
        <v>635</v>
      </c>
      <c r="AJ94" t="s">
        <v>636</v>
      </c>
      <c r="AK94" t="s">
        <v>637</v>
      </c>
      <c r="AL94" t="s">
        <v>638</v>
      </c>
      <c r="AM94" t="s">
        <v>639</v>
      </c>
    </row>
    <row r="95" spans="16:42" x14ac:dyDescent="0.25">
      <c r="AG95" t="str">
        <f t="shared" si="2"/>
        <v>Kode:</v>
      </c>
      <c r="AH95" t="s">
        <v>640</v>
      </c>
      <c r="AI95" t="s">
        <v>641</v>
      </c>
      <c r="AJ95" t="s">
        <v>642</v>
      </c>
      <c r="AK95" t="s">
        <v>643</v>
      </c>
      <c r="AL95" t="s">
        <v>644</v>
      </c>
      <c r="AM95" t="s">
        <v>645</v>
      </c>
      <c r="AN95" t="s">
        <v>646</v>
      </c>
      <c r="AO95" t="s">
        <v>647</v>
      </c>
      <c r="AP95" t="s">
        <v>648</v>
      </c>
    </row>
    <row r="96" spans="16:42" x14ac:dyDescent="0.25">
      <c r="AG96" t="str">
        <f t="shared" si="2"/>
        <v>Version:</v>
      </c>
      <c r="AH96" t="s">
        <v>649</v>
      </c>
      <c r="AI96" t="s">
        <v>650</v>
      </c>
      <c r="AJ96" t="s">
        <v>650</v>
      </c>
      <c r="AK96" t="s">
        <v>651</v>
      </c>
      <c r="AL96" t="s">
        <v>652</v>
      </c>
      <c r="AM96" t="s">
        <v>653</v>
      </c>
      <c r="AN96" t="s">
        <v>654</v>
      </c>
      <c r="AO96" t="s">
        <v>655</v>
      </c>
      <c r="AP96" t="s">
        <v>656</v>
      </c>
    </row>
    <row r="97" spans="33:42" x14ac:dyDescent="0.25">
      <c r="AG97" t="str">
        <f t="shared" si="2"/>
        <v>NICHT ERFORDELICH</v>
      </c>
      <c r="AH97" t="s">
        <v>657</v>
      </c>
      <c r="AI97" t="s">
        <v>658</v>
      </c>
      <c r="AJ97" t="s">
        <v>659</v>
      </c>
      <c r="AK97" t="s">
        <v>660</v>
      </c>
      <c r="AL97" t="s">
        <v>661</v>
      </c>
      <c r="AM97" t="s">
        <v>662</v>
      </c>
      <c r="AN97" t="s">
        <v>663</v>
      </c>
      <c r="AO97" t="s">
        <v>664</v>
      </c>
      <c r="AP97" t="s">
        <v>665</v>
      </c>
    </row>
    <row r="99" spans="33:42" x14ac:dyDescent="0.25">
      <c r="AG99" t="str">
        <f t="shared" si="2"/>
        <v>Fülen Sie bitte markierte Felder!</v>
      </c>
      <c r="AH99" t="s">
        <v>666</v>
      </c>
      <c r="AI99" t="s">
        <v>667</v>
      </c>
      <c r="AJ99" t="s">
        <v>668</v>
      </c>
      <c r="AK99" t="s">
        <v>669</v>
      </c>
      <c r="AL99" t="s">
        <v>670</v>
      </c>
      <c r="AM99" t="s">
        <v>671</v>
      </c>
      <c r="AN99" t="s">
        <v>672</v>
      </c>
      <c r="AO99" t="s">
        <v>673</v>
      </c>
      <c r="AP99" t="s">
        <v>674</v>
      </c>
    </row>
    <row r="101" spans="33:42" x14ac:dyDescent="0.25">
      <c r="AG101" t="str">
        <f t="shared" si="2"/>
        <v>Bedienung</v>
      </c>
      <c r="AH101" t="s">
        <v>675</v>
      </c>
      <c r="AI101" t="s">
        <v>676</v>
      </c>
      <c r="AJ101" t="s">
        <v>677</v>
      </c>
      <c r="AK101" t="s">
        <v>678</v>
      </c>
      <c r="AL101" t="s">
        <v>679</v>
      </c>
      <c r="AM101" t="s">
        <v>680</v>
      </c>
      <c r="AN101" t="s">
        <v>681</v>
      </c>
      <c r="AO101" t="s">
        <v>682</v>
      </c>
      <c r="AP101" t="s">
        <v>683</v>
      </c>
    </row>
    <row r="102" spans="33:42" x14ac:dyDescent="0.25">
      <c r="AG102" t="str">
        <f t="shared" si="2"/>
        <v>hand</v>
      </c>
      <c r="AH102" t="s">
        <v>684</v>
      </c>
      <c r="AI102" t="s">
        <v>685</v>
      </c>
      <c r="AJ102" t="s">
        <v>686</v>
      </c>
      <c r="AK102" t="s">
        <v>687</v>
      </c>
      <c r="AL102" t="s">
        <v>688</v>
      </c>
      <c r="AM102" t="s">
        <v>686</v>
      </c>
      <c r="AN102" t="s">
        <v>689</v>
      </c>
      <c r="AO102" t="s">
        <v>690</v>
      </c>
      <c r="AP102" s="82" t="s">
        <v>691</v>
      </c>
    </row>
    <row r="103" spans="33:42" ht="30" customHeight="1" x14ac:dyDescent="0.25">
      <c r="AG103" t="str">
        <f t="shared" si="2"/>
        <v>elektrisch</v>
      </c>
      <c r="AH103" t="s">
        <v>692</v>
      </c>
      <c r="AI103" t="s">
        <v>693</v>
      </c>
      <c r="AJ103" t="s">
        <v>694</v>
      </c>
      <c r="AK103" t="s">
        <v>695</v>
      </c>
      <c r="AL103" t="s">
        <v>696</v>
      </c>
      <c r="AM103" t="s">
        <v>694</v>
      </c>
      <c r="AN103" t="s">
        <v>697</v>
      </c>
      <c r="AO103" t="s">
        <v>698</v>
      </c>
      <c r="AP103" s="82" t="s">
        <v>520</v>
      </c>
    </row>
    <row r="104" spans="33:42" x14ac:dyDescent="0.25">
      <c r="AG104" t="str">
        <f t="shared" si="2"/>
        <v>haspeklette</v>
      </c>
      <c r="AH104" t="s">
        <v>699</v>
      </c>
      <c r="AI104" t="s">
        <v>700</v>
      </c>
      <c r="AJ104" t="s">
        <v>701</v>
      </c>
      <c r="AK104" t="s">
        <v>702</v>
      </c>
      <c r="AL104" t="s">
        <v>703</v>
      </c>
      <c r="AM104" t="s">
        <v>704</v>
      </c>
      <c r="AN104" t="s">
        <v>705</v>
      </c>
      <c r="AO104" t="s">
        <v>706</v>
      </c>
      <c r="AP104" s="83" t="s">
        <v>707</v>
      </c>
    </row>
    <row r="106" spans="33:42" x14ac:dyDescent="0.25">
      <c r="AG106" t="str">
        <f t="shared" si="2"/>
        <v>Antriebesposition</v>
      </c>
      <c r="AH106" t="s">
        <v>708</v>
      </c>
      <c r="AI106" t="s">
        <v>709</v>
      </c>
      <c r="AJ106" t="s">
        <v>710</v>
      </c>
      <c r="AK106" t="s">
        <v>711</v>
      </c>
      <c r="AL106" t="s">
        <v>712</v>
      </c>
      <c r="AM106" t="s">
        <v>713</v>
      </c>
      <c r="AN106" t="s">
        <v>714</v>
      </c>
      <c r="AO106" t="s">
        <v>715</v>
      </c>
      <c r="AP106" t="s">
        <v>716</v>
      </c>
    </row>
    <row r="107" spans="33:42" x14ac:dyDescent="0.25">
      <c r="AG107" t="str">
        <f t="shared" si="2"/>
        <v>Auf der linken Seiten</v>
      </c>
      <c r="AH107" t="s">
        <v>717</v>
      </c>
      <c r="AI107" t="s">
        <v>718</v>
      </c>
      <c r="AJ107" t="s">
        <v>719</v>
      </c>
      <c r="AK107" t="s">
        <v>720</v>
      </c>
      <c r="AL107" t="s">
        <v>721</v>
      </c>
      <c r="AM107" t="s">
        <v>722</v>
      </c>
      <c r="AN107" t="s">
        <v>723</v>
      </c>
      <c r="AO107" t="s">
        <v>724</v>
      </c>
      <c r="AP107" t="s">
        <v>725</v>
      </c>
    </row>
    <row r="108" spans="33:42" x14ac:dyDescent="0.25">
      <c r="AG108" t="str">
        <f t="shared" si="2"/>
        <v>Auf der rechten Seiten</v>
      </c>
      <c r="AH108" t="s">
        <v>726</v>
      </c>
      <c r="AI108" t="s">
        <v>727</v>
      </c>
      <c r="AJ108" t="s">
        <v>728</v>
      </c>
      <c r="AK108" t="s">
        <v>729</v>
      </c>
      <c r="AL108" t="s">
        <v>730</v>
      </c>
      <c r="AM108" t="s">
        <v>731</v>
      </c>
      <c r="AN108" t="s">
        <v>732</v>
      </c>
      <c r="AO108" t="s">
        <v>733</v>
      </c>
      <c r="AP108" t="s">
        <v>734</v>
      </c>
    </row>
    <row r="110" spans="33:42" x14ac:dyDescent="0.25">
      <c r="AG110" t="str">
        <f t="shared" si="2"/>
        <v xml:space="preserve">Benötigter Freiraum </v>
      </c>
      <c r="AH110" t="s">
        <v>735</v>
      </c>
      <c r="AI110" t="s">
        <v>736</v>
      </c>
      <c r="AJ110" t="s">
        <v>737</v>
      </c>
      <c r="AK110" t="s">
        <v>738</v>
      </c>
      <c r="AL110" t="s">
        <v>739</v>
      </c>
      <c r="AN110" t="s">
        <v>740</v>
      </c>
      <c r="AO110" t="s">
        <v>741</v>
      </c>
      <c r="AP110" t="s">
        <v>742</v>
      </c>
    </row>
    <row r="112" spans="33:42" x14ac:dyDescent="0.25">
      <c r="AG112" t="str">
        <f t="shared" si="2"/>
        <v>Seine ohne Antrieb</v>
      </c>
      <c r="AH112" t="s">
        <v>743</v>
      </c>
      <c r="AI112" t="s">
        <v>744</v>
      </c>
      <c r="AJ112" t="s">
        <v>745</v>
      </c>
      <c r="AK112" t="s">
        <v>746</v>
      </c>
      <c r="AL112" t="s">
        <v>747</v>
      </c>
      <c r="AN112" t="s">
        <v>748</v>
      </c>
      <c r="AO112" t="s">
        <v>749</v>
      </c>
      <c r="AP112" t="s">
        <v>750</v>
      </c>
    </row>
    <row r="113" spans="33:42" x14ac:dyDescent="0.25">
      <c r="AG113" t="str">
        <f t="shared" si="2"/>
        <v>Tore mit Antrieb oder Hanspelkettenantrieb müssen Seilspannvorrichtung (für Zurückziehung) der ist immer rechts montiert (es ist nicht wichtig wo Antrieb montiert ist) enthalten.</v>
      </c>
      <c r="AH113" t="s">
        <v>751</v>
      </c>
      <c r="AI113" t="s">
        <v>752</v>
      </c>
      <c r="AJ113" t="s">
        <v>753</v>
      </c>
      <c r="AK113" t="s">
        <v>754</v>
      </c>
      <c r="AL113" t="s">
        <v>755</v>
      </c>
      <c r="AN113" t="s">
        <v>756</v>
      </c>
      <c r="AO113" t="s">
        <v>757</v>
      </c>
      <c r="AP113" t="s">
        <v>758</v>
      </c>
    </row>
    <row r="115" spans="33:42" x14ac:dyDescent="0.25">
      <c r="AG115" t="str">
        <f t="shared" si="2"/>
        <v>Deckenwinkel</v>
      </c>
      <c r="AH115" t="s">
        <v>759</v>
      </c>
      <c r="AI115" t="s">
        <v>760</v>
      </c>
      <c r="AJ115" t="s">
        <v>761</v>
      </c>
      <c r="AK115" t="s">
        <v>453</v>
      </c>
      <c r="AL115" t="s">
        <v>762</v>
      </c>
      <c r="AN115" t="s">
        <v>763</v>
      </c>
      <c r="AO115" t="s">
        <v>764</v>
      </c>
      <c r="AP115" t="s">
        <v>765</v>
      </c>
    </row>
    <row r="116" spans="33:42" x14ac:dyDescent="0.25">
      <c r="AG116" t="str">
        <f t="shared" si="2"/>
        <v>Aufhängepunkt für Vierkantrohr</v>
      </c>
      <c r="AH116" t="s">
        <v>766</v>
      </c>
      <c r="AI116" t="s">
        <v>767</v>
      </c>
      <c r="AJ116" t="s">
        <v>768</v>
      </c>
      <c r="AK116" t="s">
        <v>769</v>
      </c>
      <c r="AL116" t="s">
        <v>770</v>
      </c>
      <c r="AN116" t="s">
        <v>771</v>
      </c>
      <c r="AO116" t="s">
        <v>772</v>
      </c>
      <c r="AP116" t="s">
        <v>773</v>
      </c>
    </row>
    <row r="118" spans="33:42" x14ac:dyDescent="0.25">
      <c r="AG118" t="str">
        <f t="shared" si="2"/>
        <v>Rechteckigerohre 80x40x2 (verzinkt) ist ein Lieferungsbestandteil. Er muss fest an die Decke in drei Punkten befestigt werden, (beim Torblatt bis 10 m2 reichen 2 Punkte).</v>
      </c>
      <c r="AH118" t="s">
        <v>774</v>
      </c>
      <c r="AI118" t="s">
        <v>775</v>
      </c>
      <c r="AJ118" t="s">
        <v>776</v>
      </c>
      <c r="AK118" t="s">
        <v>777</v>
      </c>
      <c r="AL118" t="s">
        <v>778</v>
      </c>
      <c r="AN118" t="s">
        <v>779</v>
      </c>
      <c r="AO118" t="s">
        <v>780</v>
      </c>
      <c r="AP118" t="s">
        <v>765</v>
      </c>
    </row>
    <row r="119" spans="33:42" x14ac:dyDescent="0.25">
      <c r="AG119" t="str">
        <f t="shared" si="2"/>
        <v>Paneel-Typ</v>
      </c>
      <c r="AH119" t="s">
        <v>781</v>
      </c>
      <c r="AI119" t="s">
        <v>782</v>
      </c>
      <c r="AJ119" t="s">
        <v>783</v>
      </c>
      <c r="AK119" t="s">
        <v>784</v>
      </c>
      <c r="AL119" t="s">
        <v>785</v>
      </c>
      <c r="AM119" t="s">
        <v>786</v>
      </c>
      <c r="AN119" t="s">
        <v>787</v>
      </c>
      <c r="AO119" t="s">
        <v>788</v>
      </c>
      <c r="AP119" t="s">
        <v>789</v>
      </c>
    </row>
    <row r="121" spans="33:42" x14ac:dyDescent="0.25">
      <c r="AG121" t="str">
        <f t="shared" si="2"/>
        <v>40mm</v>
      </c>
      <c r="AH121" t="s">
        <v>790</v>
      </c>
      <c r="AI121" t="s">
        <v>790</v>
      </c>
      <c r="AJ121" t="s">
        <v>790</v>
      </c>
      <c r="AK121" t="s">
        <v>790</v>
      </c>
      <c r="AL121" t="s">
        <v>790</v>
      </c>
      <c r="AM121" t="s">
        <v>790</v>
      </c>
      <c r="AN121" t="s">
        <v>791</v>
      </c>
      <c r="AO121" t="s">
        <v>790</v>
      </c>
      <c r="AP121" t="s">
        <v>792</v>
      </c>
    </row>
    <row r="122" spans="33:42" x14ac:dyDescent="0.25">
      <c r="AG122" t="str">
        <f t="shared" si="2"/>
        <v>80mm</v>
      </c>
      <c r="AH122" t="s">
        <v>793</v>
      </c>
      <c r="AI122" t="s">
        <v>793</v>
      </c>
      <c r="AJ122" t="s">
        <v>793</v>
      </c>
      <c r="AK122" t="s">
        <v>793</v>
      </c>
      <c r="AL122" t="s">
        <v>793</v>
      </c>
      <c r="AM122" t="s">
        <v>793</v>
      </c>
      <c r="AN122" t="s">
        <v>794</v>
      </c>
      <c r="AO122" t="s">
        <v>793</v>
      </c>
      <c r="AP122" t="s">
        <v>795</v>
      </c>
    </row>
    <row r="131" spans="40:40" x14ac:dyDescent="0.25">
      <c r="AN131" s="21"/>
    </row>
    <row r="173" spans="40:40" x14ac:dyDescent="0.25">
      <c r="AN173" s="84"/>
    </row>
    <row r="174" spans="40:40" x14ac:dyDescent="0.25">
      <c r="AN174" s="84"/>
    </row>
    <row r="202" spans="34:67" x14ac:dyDescent="0.25"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</row>
    <row r="244" spans="34:67" x14ac:dyDescent="0.25"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</row>
    <row r="245" spans="34:67" x14ac:dyDescent="0.25"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</row>
    <row r="331" spans="34:67" x14ac:dyDescent="0.25"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</row>
    <row r="373" spans="34:67" x14ac:dyDescent="0.25"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</row>
    <row r="374" spans="34:67" x14ac:dyDescent="0.25"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</row>
    <row r="460" spans="34:58" x14ac:dyDescent="0.25"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</sheetData>
  <sheetProtection password="996F" sheet="1" objects="1" selectLockedCells="1"/>
  <mergeCells count="46">
    <mergeCell ref="D12:F12"/>
    <mergeCell ref="Q2:AB3"/>
    <mergeCell ref="X4:AB4"/>
    <mergeCell ref="K7:M7"/>
    <mergeCell ref="R7:S7"/>
    <mergeCell ref="K9:M9"/>
    <mergeCell ref="B39:B40"/>
    <mergeCell ref="S13:S15"/>
    <mergeCell ref="T15:T17"/>
    <mergeCell ref="B16:B20"/>
    <mergeCell ref="C16:C18"/>
    <mergeCell ref="H18:I19"/>
    <mergeCell ref="T18:T20"/>
    <mergeCell ref="C20:C21"/>
    <mergeCell ref="J21:N21"/>
    <mergeCell ref="T21:T22"/>
    <mergeCell ref="B22:B25"/>
    <mergeCell ref="C22:C27"/>
    <mergeCell ref="H27:H29"/>
    <mergeCell ref="F31:G31"/>
    <mergeCell ref="Q31:Q32"/>
    <mergeCell ref="Y32:AA33"/>
    <mergeCell ref="X61:Y61"/>
    <mergeCell ref="E42:F42"/>
    <mergeCell ref="X48:AB49"/>
    <mergeCell ref="R50:AB51"/>
    <mergeCell ref="R53:AB54"/>
    <mergeCell ref="R55:AB56"/>
    <mergeCell ref="M59:P59"/>
    <mergeCell ref="G60:L60"/>
    <mergeCell ref="M61:P61"/>
    <mergeCell ref="R61:S61"/>
    <mergeCell ref="T61:U61"/>
    <mergeCell ref="V61:W61"/>
    <mergeCell ref="R62:S62"/>
    <mergeCell ref="T62:U62"/>
    <mergeCell ref="V62:W62"/>
    <mergeCell ref="X62:Y62"/>
    <mergeCell ref="M63:P63"/>
    <mergeCell ref="R63:U64"/>
    <mergeCell ref="V63:AB64"/>
    <mergeCell ref="O65:P65"/>
    <mergeCell ref="V65:AB67"/>
    <mergeCell ref="V68:Y69"/>
    <mergeCell ref="AA68:AB68"/>
    <mergeCell ref="AA69:AB69"/>
  </mergeCells>
  <conditionalFormatting sqref="R7:S7">
    <cfRule type="expression" dxfId="0" priority="1" stopIfTrue="1">
      <formula>AND(OR($K$7=$AG$102,K7=""))</formula>
    </cfRule>
  </conditionalFormatting>
  <dataValidations count="6">
    <dataValidation type="list" allowBlank="1" showInputMessage="1" showErrorMessage="1" sqref="E5" xr:uid="{00000000-0002-0000-0000-000000000000}">
      <formula1>$AD$3:$AD$11</formula1>
    </dataValidation>
    <dataValidation type="list" allowBlank="1" showInputMessage="1" showErrorMessage="1" sqref="R7:S7" xr:uid="{00000000-0002-0000-0000-000001000000}">
      <formula1>$AG$107:$AG$108</formula1>
    </dataValidation>
    <dataValidation type="list" allowBlank="1" showInputMessage="1" showErrorMessage="1" sqref="K7" xr:uid="{00000000-0002-0000-0000-000002000000}">
      <formula1>$AG$102:$AG$104</formula1>
    </dataValidation>
    <dataValidation type="custom" showInputMessage="1" showErrorMessage="1" error="H max 5000 mm_x000a__x000a_W x H max 23 m2" sqref="K5" xr:uid="{00000000-0002-0000-0000-000003000000}">
      <formula1>IF(OR(K5&gt;5000,K3/1000*K5/1000&gt;23),FALSE,TRUE)</formula1>
    </dataValidation>
    <dataValidation type="whole" showInputMessage="1" showErrorMessage="1" error="W max 6000 m_x000a_" sqref="K3" xr:uid="{00000000-0002-0000-0000-000004000000}">
      <formula1>1</formula1>
      <formula2>6000</formula2>
    </dataValidation>
    <dataValidation type="list" allowBlank="1" showInputMessage="1" showErrorMessage="1" sqref="K9" xr:uid="{00000000-0002-0000-0000-000005000000}">
      <formula1>AG121:AG122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114</xdr:row>
                <xdr:rowOff>0</xdr:rowOff>
              </from>
              <to>
                <xdr:col>30</xdr:col>
                <xdr:colOff>0</xdr:colOff>
                <xdr:row>114</xdr:row>
                <xdr:rowOff>9525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49"/>
  <sheetViews>
    <sheetView showGridLines="0" zoomScaleNormal="100" workbookViewId="0">
      <selection activeCell="E48" sqref="E48:G49"/>
    </sheetView>
  </sheetViews>
  <sheetFormatPr baseColWidth="10" defaultColWidth="9.140625" defaultRowHeight="15" x14ac:dyDescent="0.25"/>
  <sheetData>
    <row r="1" spans="1:9" x14ac:dyDescent="0.25">
      <c r="A1" s="2"/>
      <c r="B1" s="6"/>
      <c r="C1" s="6"/>
      <c r="D1" s="6"/>
      <c r="E1" s="6"/>
      <c r="F1" s="6"/>
      <c r="G1" s="6"/>
      <c r="H1" s="6"/>
      <c r="I1" s="85"/>
    </row>
    <row r="2" spans="1:9" x14ac:dyDescent="0.25">
      <c r="A2" s="27"/>
      <c r="I2" s="5"/>
    </row>
    <row r="3" spans="1:9" x14ac:dyDescent="0.25">
      <c r="A3" s="27"/>
      <c r="C3" s="37"/>
      <c r="I3" s="5"/>
    </row>
    <row r="4" spans="1:9" x14ac:dyDescent="0.25">
      <c r="A4" s="27"/>
      <c r="B4" s="30"/>
      <c r="I4" s="5"/>
    </row>
    <row r="5" spans="1:9" x14ac:dyDescent="0.25">
      <c r="A5" s="27"/>
      <c r="I5" s="5"/>
    </row>
    <row r="6" spans="1:9" x14ac:dyDescent="0.25">
      <c r="A6" s="86" t="s">
        <v>796</v>
      </c>
      <c r="B6" s="146" t="str">
        <f>"F="&amp;general!P58</f>
        <v>F=230</v>
      </c>
      <c r="I6" s="5"/>
    </row>
    <row r="7" spans="1:9" x14ac:dyDescent="0.25">
      <c r="A7" s="86"/>
      <c r="B7" s="146"/>
      <c r="I7" s="5"/>
    </row>
    <row r="8" spans="1:9" x14ac:dyDescent="0.25">
      <c r="A8" s="86"/>
      <c r="B8" s="146"/>
      <c r="I8" s="5"/>
    </row>
    <row r="9" spans="1:9" x14ac:dyDescent="0.25">
      <c r="A9" s="86"/>
      <c r="I9" s="5"/>
    </row>
    <row r="10" spans="1:9" x14ac:dyDescent="0.25">
      <c r="A10" s="27"/>
      <c r="I10" s="5"/>
    </row>
    <row r="11" spans="1:9" x14ac:dyDescent="0.25">
      <c r="A11" s="27"/>
      <c r="I11" s="5"/>
    </row>
    <row r="12" spans="1:9" x14ac:dyDescent="0.25">
      <c r="A12" s="27"/>
      <c r="I12" s="5"/>
    </row>
    <row r="13" spans="1:9" x14ac:dyDescent="0.25">
      <c r="A13" s="27"/>
      <c r="I13" s="5"/>
    </row>
    <row r="14" spans="1:9" x14ac:dyDescent="0.25">
      <c r="A14" s="27"/>
      <c r="I14" s="5"/>
    </row>
    <row r="15" spans="1:9" x14ac:dyDescent="0.25">
      <c r="A15" s="87"/>
      <c r="B15" s="140" t="str">
        <f>"H="&amp;general!K5</f>
        <v>H=</v>
      </c>
      <c r="I15" s="5"/>
    </row>
    <row r="16" spans="1:9" x14ac:dyDescent="0.25">
      <c r="A16" s="87"/>
      <c r="B16" s="140"/>
      <c r="I16" s="5"/>
    </row>
    <row r="17" spans="1:9" x14ac:dyDescent="0.25">
      <c r="A17" s="87"/>
      <c r="B17" s="140"/>
      <c r="I17" s="5"/>
    </row>
    <row r="18" spans="1:9" x14ac:dyDescent="0.25">
      <c r="A18" s="87"/>
      <c r="B18" s="140"/>
      <c r="I18" s="5"/>
    </row>
    <row r="19" spans="1:9" x14ac:dyDescent="0.25">
      <c r="A19" s="27"/>
      <c r="I19" s="5"/>
    </row>
    <row r="20" spans="1:9" x14ac:dyDescent="0.25">
      <c r="A20" s="27"/>
      <c r="I20" s="5"/>
    </row>
    <row r="21" spans="1:9" x14ac:dyDescent="0.25">
      <c r="A21" s="27"/>
      <c r="I21" s="5"/>
    </row>
    <row r="22" spans="1:9" x14ac:dyDescent="0.25">
      <c r="A22" s="27"/>
      <c r="I22" s="5"/>
    </row>
    <row r="23" spans="1:9" x14ac:dyDescent="0.25">
      <c r="A23" s="27"/>
      <c r="I23" s="5"/>
    </row>
    <row r="24" spans="1:9" x14ac:dyDescent="0.25">
      <c r="A24" s="27"/>
      <c r="I24" s="5"/>
    </row>
    <row r="25" spans="1:9" x14ac:dyDescent="0.25">
      <c r="A25" s="27"/>
      <c r="I25" s="5"/>
    </row>
    <row r="26" spans="1:9" x14ac:dyDescent="0.25">
      <c r="A26" s="27"/>
      <c r="I26" s="5"/>
    </row>
    <row r="27" spans="1:9" x14ac:dyDescent="0.25">
      <c r="A27" s="27"/>
      <c r="D27" s="37"/>
      <c r="F27" s="23">
        <f>general!K3</f>
        <v>0</v>
      </c>
      <c r="G27" s="37"/>
      <c r="I27" s="5"/>
    </row>
    <row r="28" spans="1:9" x14ac:dyDescent="0.25">
      <c r="A28" s="27"/>
      <c r="F28" s="37"/>
      <c r="I28" s="5"/>
    </row>
    <row r="29" spans="1:9" x14ac:dyDescent="0.25">
      <c r="A29" s="27"/>
      <c r="F29" s="37"/>
      <c r="I29" s="5"/>
    </row>
    <row r="30" spans="1:9" x14ac:dyDescent="0.25">
      <c r="A30" s="27"/>
      <c r="I30" s="5"/>
    </row>
    <row r="31" spans="1:9" x14ac:dyDescent="0.25">
      <c r="A31" s="27"/>
      <c r="I31" s="5"/>
    </row>
    <row r="32" spans="1:9" x14ac:dyDescent="0.25">
      <c r="A32" s="27"/>
      <c r="I32" s="5"/>
    </row>
    <row r="33" spans="1:9" x14ac:dyDescent="0.25">
      <c r="A33" s="27"/>
      <c r="I33" s="5"/>
    </row>
    <row r="34" spans="1:9" x14ac:dyDescent="0.25">
      <c r="A34" s="27"/>
      <c r="I34" s="5"/>
    </row>
    <row r="35" spans="1:9" x14ac:dyDescent="0.25">
      <c r="A35" s="27"/>
      <c r="I35" s="5"/>
    </row>
    <row r="36" spans="1:9" x14ac:dyDescent="0.25">
      <c r="A36" s="27"/>
      <c r="I36" s="5"/>
    </row>
    <row r="37" spans="1:9" x14ac:dyDescent="0.25">
      <c r="A37" s="27"/>
      <c r="I37" s="5"/>
    </row>
    <row r="38" spans="1:9" x14ac:dyDescent="0.25">
      <c r="A38" s="27"/>
      <c r="I38" s="5"/>
    </row>
    <row r="39" spans="1:9" ht="15.75" thickBot="1" x14ac:dyDescent="0.3">
      <c r="A39" s="27"/>
      <c r="I39" s="5"/>
    </row>
    <row r="40" spans="1:9" x14ac:dyDescent="0.25">
      <c r="A40" s="27"/>
      <c r="C40" s="165" t="str">
        <f>general!Q2</f>
        <v>NIEDRIGSTURZ BESCHLAG (LL-CE)</v>
      </c>
      <c r="D40" s="166"/>
      <c r="E40" s="166"/>
      <c r="F40" s="166"/>
      <c r="G40" s="166"/>
      <c r="H40" s="166"/>
      <c r="I40" s="167"/>
    </row>
    <row r="41" spans="1:9" ht="15.75" thickBot="1" x14ac:dyDescent="0.3">
      <c r="A41" s="27"/>
      <c r="C41" s="168"/>
      <c r="D41" s="169"/>
      <c r="E41" s="169"/>
      <c r="F41" s="169"/>
      <c r="G41" s="169"/>
      <c r="H41" s="169"/>
      <c r="I41" s="170"/>
    </row>
    <row r="42" spans="1:9" ht="15.75" thickBot="1" x14ac:dyDescent="0.3">
      <c r="A42" s="27"/>
      <c r="C42" s="160" t="str">
        <f>general!$AG$106</f>
        <v>Antriebesposition</v>
      </c>
      <c r="D42" s="161"/>
      <c r="E42" s="165" t="str">
        <f>general!$AG$108</f>
        <v>Auf der rechten Seiten</v>
      </c>
      <c r="F42" s="166"/>
      <c r="G42" s="167"/>
      <c r="H42" s="171"/>
      <c r="I42" s="171"/>
    </row>
    <row r="43" spans="1:9" ht="15.75" thickBot="1" x14ac:dyDescent="0.3">
      <c r="A43" s="27"/>
      <c r="C43" s="162"/>
      <c r="D43" s="163"/>
      <c r="E43" s="168"/>
      <c r="F43" s="169"/>
      <c r="G43" s="170"/>
      <c r="H43" s="171"/>
      <c r="I43" s="171"/>
    </row>
    <row r="44" spans="1:9" ht="15.75" thickBot="1" x14ac:dyDescent="0.3">
      <c r="A44" s="27"/>
      <c r="C44" s="160" t="str">
        <f>general!$R$61</f>
        <v>Aufgestellt:</v>
      </c>
      <c r="D44" s="161"/>
      <c r="E44" s="172"/>
      <c r="F44" s="172"/>
      <c r="G44" s="172"/>
      <c r="H44" s="171"/>
      <c r="I44" s="171"/>
    </row>
    <row r="45" spans="1:9" ht="15.75" thickBot="1" x14ac:dyDescent="0.3">
      <c r="A45" s="27"/>
      <c r="C45" s="162"/>
      <c r="D45" s="163"/>
      <c r="E45" s="172"/>
      <c r="F45" s="172"/>
      <c r="G45" s="172"/>
      <c r="H45" s="171"/>
      <c r="I45" s="171"/>
    </row>
    <row r="46" spans="1:9" ht="15.75" thickBot="1" x14ac:dyDescent="0.3">
      <c r="A46" s="27"/>
      <c r="C46" s="160" t="str">
        <f>general!$T$61</f>
        <v>Bereinigt:</v>
      </c>
      <c r="D46" s="161"/>
      <c r="E46" s="172"/>
      <c r="F46" s="172"/>
      <c r="G46" s="172"/>
      <c r="H46" s="171"/>
      <c r="I46" s="171"/>
    </row>
    <row r="47" spans="1:9" ht="15.75" thickBot="1" x14ac:dyDescent="0.3">
      <c r="A47" s="27"/>
      <c r="C47" s="162"/>
      <c r="D47" s="163"/>
      <c r="E47" s="172"/>
      <c r="F47" s="172"/>
      <c r="G47" s="172"/>
      <c r="H47" s="171"/>
      <c r="I47" s="171"/>
    </row>
    <row r="48" spans="1:9" ht="15.75" thickBot="1" x14ac:dyDescent="0.3">
      <c r="A48" s="27"/>
      <c r="C48" s="160" t="str">
        <f>general!$Z$61</f>
        <v>Datum:</v>
      </c>
      <c r="D48" s="161"/>
      <c r="E48" s="164"/>
      <c r="F48" s="164"/>
      <c r="G48" s="164"/>
      <c r="H48" s="171"/>
      <c r="I48" s="171"/>
    </row>
    <row r="49" spans="1:9" ht="15.75" thickBot="1" x14ac:dyDescent="0.3">
      <c r="A49" s="79"/>
      <c r="B49" s="1"/>
      <c r="C49" s="162"/>
      <c r="D49" s="163"/>
      <c r="E49" s="164"/>
      <c r="F49" s="164"/>
      <c r="G49" s="164"/>
      <c r="H49" s="171"/>
      <c r="I49" s="171"/>
    </row>
  </sheetData>
  <sheetProtection password="996F" sheet="1" objects="1" selectLockedCells="1"/>
  <mergeCells count="12">
    <mergeCell ref="C48:D49"/>
    <mergeCell ref="E48:G49"/>
    <mergeCell ref="B6:B8"/>
    <mergeCell ref="B15:B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I49"/>
  <sheetViews>
    <sheetView showGridLines="0" zoomScaleNormal="100" workbookViewId="0">
      <selection activeCell="H42" sqref="H42:I49"/>
    </sheetView>
  </sheetViews>
  <sheetFormatPr baseColWidth="10" defaultColWidth="9.140625" defaultRowHeight="15" x14ac:dyDescent="0.25"/>
  <sheetData>
    <row r="1" spans="1:9" x14ac:dyDescent="0.25">
      <c r="A1" s="2"/>
      <c r="B1" s="6"/>
      <c r="C1" s="6"/>
      <c r="D1" s="6"/>
      <c r="E1" s="6"/>
      <c r="F1" s="6"/>
      <c r="G1" s="6"/>
      <c r="H1" s="6"/>
      <c r="I1" s="85"/>
    </row>
    <row r="2" spans="1:9" x14ac:dyDescent="0.25">
      <c r="A2" s="27"/>
      <c r="I2" s="5"/>
    </row>
    <row r="3" spans="1:9" x14ac:dyDescent="0.25">
      <c r="A3" s="88"/>
      <c r="B3" s="25"/>
      <c r="C3" s="23"/>
      <c r="D3" s="25"/>
      <c r="E3" s="25"/>
      <c r="F3" s="25"/>
      <c r="G3" s="25"/>
      <c r="H3" s="25"/>
      <c r="I3" s="89"/>
    </row>
    <row r="4" spans="1:9" x14ac:dyDescent="0.25">
      <c r="A4" s="88"/>
      <c r="B4" s="22"/>
      <c r="C4" s="25"/>
      <c r="D4" s="25"/>
      <c r="E4" s="25"/>
      <c r="F4" s="25"/>
      <c r="G4" s="25"/>
      <c r="H4" s="25"/>
      <c r="I4" s="89"/>
    </row>
    <row r="5" spans="1:9" x14ac:dyDescent="0.25">
      <c r="A5" s="88"/>
      <c r="B5" s="25"/>
      <c r="C5" s="25"/>
      <c r="D5" s="25"/>
      <c r="E5" s="25"/>
      <c r="F5" s="25"/>
      <c r="G5" s="25"/>
      <c r="H5" s="25"/>
      <c r="I5" s="89"/>
    </row>
    <row r="6" spans="1:9" x14ac:dyDescent="0.25">
      <c r="A6" s="90" t="s">
        <v>796</v>
      </c>
      <c r="B6" s="140" t="str">
        <f>"F="&amp;general!P58</f>
        <v>F=230</v>
      </c>
      <c r="C6" s="25"/>
      <c r="D6" s="25"/>
      <c r="E6" s="25"/>
      <c r="F6" s="25"/>
      <c r="G6" s="25"/>
      <c r="H6" s="25"/>
      <c r="I6" s="89"/>
    </row>
    <row r="7" spans="1:9" x14ac:dyDescent="0.25">
      <c r="A7" s="90"/>
      <c r="B7" s="140"/>
      <c r="C7" s="25"/>
      <c r="D7" s="25"/>
      <c r="E7" s="25"/>
      <c r="F7" s="25"/>
      <c r="G7" s="25"/>
      <c r="H7" s="25"/>
      <c r="I7" s="89"/>
    </row>
    <row r="8" spans="1:9" x14ac:dyDescent="0.25">
      <c r="A8" s="90"/>
      <c r="B8" s="140"/>
      <c r="C8" s="25"/>
      <c r="D8" s="25"/>
      <c r="E8" s="25"/>
      <c r="F8" s="25"/>
      <c r="G8" s="25"/>
      <c r="H8" s="25"/>
      <c r="I8" s="89"/>
    </row>
    <row r="9" spans="1:9" x14ac:dyDescent="0.25">
      <c r="A9" s="90"/>
      <c r="B9" s="25"/>
      <c r="C9" s="25"/>
      <c r="D9" s="25"/>
      <c r="E9" s="25"/>
      <c r="F9" s="25"/>
      <c r="G9" s="25"/>
      <c r="H9" s="25"/>
      <c r="I9" s="89"/>
    </row>
    <row r="10" spans="1:9" x14ac:dyDescent="0.25">
      <c r="A10" s="88"/>
      <c r="B10" s="25"/>
      <c r="C10" s="25"/>
      <c r="D10" s="25"/>
      <c r="E10" s="25"/>
      <c r="F10" s="25"/>
      <c r="G10" s="25"/>
      <c r="H10" s="25"/>
      <c r="I10" s="89"/>
    </row>
    <row r="11" spans="1:9" x14ac:dyDescent="0.25">
      <c r="A11" s="88"/>
      <c r="B11" s="25"/>
      <c r="C11" s="25"/>
      <c r="D11" s="25"/>
      <c r="E11" s="25"/>
      <c r="F11" s="25"/>
      <c r="G11" s="25"/>
      <c r="H11" s="25"/>
      <c r="I11" s="89"/>
    </row>
    <row r="12" spans="1:9" x14ac:dyDescent="0.25">
      <c r="A12" s="88"/>
      <c r="B12" s="25"/>
      <c r="C12" s="25"/>
      <c r="D12" s="25"/>
      <c r="E12" s="25"/>
      <c r="F12" s="25"/>
      <c r="G12" s="25"/>
      <c r="H12" s="25"/>
      <c r="I12" s="89"/>
    </row>
    <row r="13" spans="1:9" x14ac:dyDescent="0.25">
      <c r="A13" s="88"/>
      <c r="B13" s="25"/>
      <c r="C13" s="25"/>
      <c r="D13" s="25"/>
      <c r="E13" s="25"/>
      <c r="F13" s="25"/>
      <c r="G13" s="25"/>
      <c r="H13" s="25"/>
      <c r="I13" s="89"/>
    </row>
    <row r="14" spans="1:9" x14ac:dyDescent="0.25">
      <c r="A14" s="88"/>
      <c r="B14" s="25"/>
      <c r="C14" s="25"/>
      <c r="D14" s="25"/>
      <c r="E14" s="25"/>
      <c r="F14" s="25"/>
      <c r="G14" s="25"/>
      <c r="H14" s="25"/>
      <c r="I14" s="89"/>
    </row>
    <row r="15" spans="1:9" x14ac:dyDescent="0.25">
      <c r="A15" s="91"/>
      <c r="B15" s="140" t="str">
        <f>"H="&amp;general!K5</f>
        <v>H=</v>
      </c>
      <c r="C15" s="25"/>
      <c r="D15" s="25"/>
      <c r="E15" s="25"/>
      <c r="F15" s="25"/>
      <c r="G15" s="25"/>
      <c r="H15" s="25"/>
      <c r="I15" s="89"/>
    </row>
    <row r="16" spans="1:9" x14ac:dyDescent="0.25">
      <c r="A16" s="91"/>
      <c r="B16" s="140"/>
      <c r="C16" s="25"/>
      <c r="D16" s="25"/>
      <c r="E16" s="25"/>
      <c r="F16" s="25"/>
      <c r="G16" s="25"/>
      <c r="H16" s="25"/>
      <c r="I16" s="89"/>
    </row>
    <row r="17" spans="1:9" x14ac:dyDescent="0.25">
      <c r="A17" s="91"/>
      <c r="B17" s="140"/>
      <c r="C17" s="25"/>
      <c r="D17" s="25"/>
      <c r="E17" s="25"/>
      <c r="F17" s="25"/>
      <c r="G17" s="25"/>
      <c r="H17" s="25"/>
      <c r="I17" s="89"/>
    </row>
    <row r="18" spans="1:9" x14ac:dyDescent="0.25">
      <c r="A18" s="91"/>
      <c r="B18" s="140"/>
      <c r="C18" s="25"/>
      <c r="D18" s="25"/>
      <c r="E18" s="25"/>
      <c r="F18" s="25"/>
      <c r="G18" s="25"/>
      <c r="H18" s="25"/>
      <c r="I18" s="89"/>
    </row>
    <row r="19" spans="1:9" x14ac:dyDescent="0.25">
      <c r="A19" s="88"/>
      <c r="B19" s="25"/>
      <c r="C19" s="25"/>
      <c r="D19" s="25"/>
      <c r="E19" s="25"/>
      <c r="F19" s="25"/>
      <c r="G19" s="25"/>
      <c r="H19" s="25"/>
      <c r="I19" s="89"/>
    </row>
    <row r="20" spans="1:9" x14ac:dyDescent="0.25">
      <c r="A20" s="88"/>
      <c r="B20" s="25"/>
      <c r="C20" s="25"/>
      <c r="D20" s="25"/>
      <c r="E20" s="25"/>
      <c r="F20" s="25"/>
      <c r="G20" s="25"/>
      <c r="H20" s="25"/>
      <c r="I20" s="89"/>
    </row>
    <row r="21" spans="1:9" x14ac:dyDescent="0.25">
      <c r="A21" s="88"/>
      <c r="B21" s="25"/>
      <c r="C21" s="25"/>
      <c r="D21" s="25"/>
      <c r="E21" s="25"/>
      <c r="F21" s="25"/>
      <c r="G21" s="25"/>
      <c r="H21" s="25"/>
      <c r="I21" s="89"/>
    </row>
    <row r="22" spans="1:9" x14ac:dyDescent="0.25">
      <c r="A22" s="88"/>
      <c r="B22" s="25"/>
      <c r="C22" s="25"/>
      <c r="D22" s="25"/>
      <c r="E22" s="25"/>
      <c r="F22" s="25"/>
      <c r="G22" s="25"/>
      <c r="H22" s="25"/>
      <c r="I22" s="89"/>
    </row>
    <row r="23" spans="1:9" x14ac:dyDescent="0.25">
      <c r="A23" s="88"/>
      <c r="B23" s="25"/>
      <c r="C23" s="25"/>
      <c r="D23" s="25"/>
      <c r="E23" s="25"/>
      <c r="F23" s="25"/>
      <c r="G23" s="25"/>
      <c r="H23" s="25"/>
      <c r="I23" s="89"/>
    </row>
    <row r="24" spans="1:9" x14ac:dyDescent="0.25">
      <c r="A24" s="88"/>
      <c r="B24" s="25"/>
      <c r="C24" s="25"/>
      <c r="D24" s="25"/>
      <c r="E24" s="25"/>
      <c r="F24" s="25"/>
      <c r="G24" s="25"/>
      <c r="H24" s="25"/>
      <c r="I24" s="89"/>
    </row>
    <row r="25" spans="1:9" x14ac:dyDescent="0.25">
      <c r="A25" s="88"/>
      <c r="B25" s="25"/>
      <c r="C25" s="25"/>
      <c r="D25" s="25"/>
      <c r="E25" s="25"/>
      <c r="F25" s="25"/>
      <c r="G25" s="25"/>
      <c r="H25" s="25"/>
      <c r="I25" s="89"/>
    </row>
    <row r="26" spans="1:9" x14ac:dyDescent="0.25">
      <c r="A26" s="88"/>
      <c r="B26" s="25"/>
      <c r="C26" s="25"/>
      <c r="D26" s="25"/>
      <c r="E26" s="25"/>
      <c r="F26" s="25"/>
      <c r="G26" s="25"/>
      <c r="H26" s="25"/>
      <c r="I26" s="89"/>
    </row>
    <row r="27" spans="1:9" x14ac:dyDescent="0.25">
      <c r="A27" s="88"/>
      <c r="B27" s="25"/>
      <c r="C27" s="25"/>
      <c r="D27" s="23"/>
      <c r="E27" s="25"/>
      <c r="F27" s="23">
        <f>general!K3</f>
        <v>0</v>
      </c>
      <c r="G27" s="23"/>
      <c r="H27" s="25"/>
      <c r="I27" s="89"/>
    </row>
    <row r="28" spans="1:9" x14ac:dyDescent="0.25">
      <c r="A28" s="88"/>
      <c r="B28" s="25"/>
      <c r="C28" s="25"/>
      <c r="D28" s="25"/>
      <c r="E28" s="25"/>
      <c r="F28" s="23"/>
      <c r="G28" s="25"/>
      <c r="H28" s="25"/>
      <c r="I28" s="89"/>
    </row>
    <row r="29" spans="1:9" x14ac:dyDescent="0.25">
      <c r="A29" s="88"/>
      <c r="B29" s="25"/>
      <c r="C29" s="25"/>
      <c r="D29" s="25"/>
      <c r="E29" s="25"/>
      <c r="F29" s="23"/>
      <c r="G29" s="25"/>
      <c r="H29" s="25"/>
      <c r="I29" s="89"/>
    </row>
    <row r="30" spans="1:9" x14ac:dyDescent="0.25">
      <c r="A30" s="88"/>
      <c r="B30" s="25"/>
      <c r="C30" s="25"/>
      <c r="D30" s="25"/>
      <c r="E30" s="25"/>
      <c r="F30" s="25"/>
      <c r="G30" s="25"/>
      <c r="H30" s="25"/>
      <c r="I30" s="89"/>
    </row>
    <row r="31" spans="1:9" x14ac:dyDescent="0.25">
      <c r="A31" s="27"/>
      <c r="I31" s="5"/>
    </row>
    <row r="32" spans="1:9" x14ac:dyDescent="0.25">
      <c r="A32" s="27"/>
      <c r="I32" s="5"/>
    </row>
    <row r="33" spans="1:9" x14ac:dyDescent="0.25">
      <c r="A33" s="27"/>
      <c r="I33" s="5"/>
    </row>
    <row r="34" spans="1:9" x14ac:dyDescent="0.25">
      <c r="A34" s="27"/>
      <c r="I34" s="5"/>
    </row>
    <row r="35" spans="1:9" x14ac:dyDescent="0.25">
      <c r="A35" s="27"/>
      <c r="I35" s="5"/>
    </row>
    <row r="36" spans="1:9" x14ac:dyDescent="0.25">
      <c r="A36" s="27"/>
      <c r="I36" s="5"/>
    </row>
    <row r="37" spans="1:9" x14ac:dyDescent="0.25">
      <c r="A37" s="27"/>
      <c r="I37" s="5"/>
    </row>
    <row r="38" spans="1:9" x14ac:dyDescent="0.25">
      <c r="A38" s="27"/>
      <c r="I38" s="5"/>
    </row>
    <row r="39" spans="1:9" ht="15.75" thickBot="1" x14ac:dyDescent="0.3">
      <c r="A39" s="27"/>
      <c r="I39" s="5"/>
    </row>
    <row r="40" spans="1:9" x14ac:dyDescent="0.25">
      <c r="A40" s="27"/>
      <c r="C40" s="165" t="str">
        <f>general!Q2</f>
        <v>NIEDRIGSTURZ BESCHLAG (LL-CE)</v>
      </c>
      <c r="D40" s="166"/>
      <c r="E40" s="166"/>
      <c r="F40" s="166"/>
      <c r="G40" s="166"/>
      <c r="H40" s="166"/>
      <c r="I40" s="167"/>
    </row>
    <row r="41" spans="1:9" ht="15.75" thickBot="1" x14ac:dyDescent="0.3">
      <c r="A41" s="27"/>
      <c r="C41" s="168"/>
      <c r="D41" s="169"/>
      <c r="E41" s="169"/>
      <c r="F41" s="169"/>
      <c r="G41" s="169"/>
      <c r="H41" s="169"/>
      <c r="I41" s="170"/>
    </row>
    <row r="42" spans="1:9" ht="15.75" thickBot="1" x14ac:dyDescent="0.3">
      <c r="A42" s="27"/>
      <c r="C42" s="160" t="str">
        <f>general!$AG$106</f>
        <v>Antriebesposition</v>
      </c>
      <c r="D42" s="161"/>
      <c r="E42" s="165" t="str">
        <f>general!$AG$107</f>
        <v>Auf der linken Seiten</v>
      </c>
      <c r="F42" s="166"/>
      <c r="G42" s="167"/>
      <c r="H42" s="171"/>
      <c r="I42" s="171"/>
    </row>
    <row r="43" spans="1:9" ht="15.75" thickBot="1" x14ac:dyDescent="0.3">
      <c r="A43" s="27"/>
      <c r="C43" s="162"/>
      <c r="D43" s="163"/>
      <c r="E43" s="168"/>
      <c r="F43" s="169"/>
      <c r="G43" s="170"/>
      <c r="H43" s="171"/>
      <c r="I43" s="171"/>
    </row>
    <row r="44" spans="1:9" ht="15.75" thickBot="1" x14ac:dyDescent="0.3">
      <c r="A44" s="27"/>
      <c r="C44" s="160" t="str">
        <f>general!$R$61</f>
        <v>Aufgestellt:</v>
      </c>
      <c r="D44" s="161"/>
      <c r="E44" s="172"/>
      <c r="F44" s="172"/>
      <c r="G44" s="172"/>
      <c r="H44" s="171"/>
      <c r="I44" s="171"/>
    </row>
    <row r="45" spans="1:9" ht="15.75" thickBot="1" x14ac:dyDescent="0.3">
      <c r="A45" s="27"/>
      <c r="C45" s="162"/>
      <c r="D45" s="163"/>
      <c r="E45" s="172"/>
      <c r="F45" s="172"/>
      <c r="G45" s="172"/>
      <c r="H45" s="171"/>
      <c r="I45" s="171"/>
    </row>
    <row r="46" spans="1:9" ht="15.75" thickBot="1" x14ac:dyDescent="0.3">
      <c r="A46" s="27"/>
      <c r="C46" s="160" t="str">
        <f>general!$T$61</f>
        <v>Bereinigt:</v>
      </c>
      <c r="D46" s="161"/>
      <c r="E46" s="172"/>
      <c r="F46" s="172"/>
      <c r="G46" s="172"/>
      <c r="H46" s="171"/>
      <c r="I46" s="171"/>
    </row>
    <row r="47" spans="1:9" ht="15.75" thickBot="1" x14ac:dyDescent="0.3">
      <c r="A47" s="27"/>
      <c r="C47" s="162"/>
      <c r="D47" s="163"/>
      <c r="E47" s="172"/>
      <c r="F47" s="172"/>
      <c r="G47" s="172"/>
      <c r="H47" s="171"/>
      <c r="I47" s="171"/>
    </row>
    <row r="48" spans="1:9" ht="15.75" thickBot="1" x14ac:dyDescent="0.3">
      <c r="A48" s="27"/>
      <c r="C48" s="160" t="str">
        <f>general!$Z$61</f>
        <v>Datum:</v>
      </c>
      <c r="D48" s="161"/>
      <c r="E48" s="164"/>
      <c r="F48" s="164"/>
      <c r="G48" s="164"/>
      <c r="H48" s="171"/>
      <c r="I48" s="171"/>
    </row>
    <row r="49" spans="1:9" ht="15.75" thickBot="1" x14ac:dyDescent="0.3">
      <c r="A49" s="79"/>
      <c r="B49" s="1"/>
      <c r="C49" s="162"/>
      <c r="D49" s="163"/>
      <c r="E49" s="164"/>
      <c r="F49" s="164"/>
      <c r="G49" s="164"/>
      <c r="H49" s="171"/>
      <c r="I49" s="171"/>
    </row>
  </sheetData>
  <sheetProtection password="996F" sheet="1" selectLockedCells="1"/>
  <mergeCells count="12">
    <mergeCell ref="C48:D49"/>
    <mergeCell ref="E48:G49"/>
    <mergeCell ref="B6:B8"/>
    <mergeCell ref="B15:B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general!Druckbereich</vt:lpstr>
    </vt:vector>
  </TitlesOfParts>
  <Company>Loading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2020-11-12T10:31:26Z</dcterms:created>
  <dcterms:modified xsi:type="dcterms:W3CDTF">2024-07-10T07:31:06Z</dcterms:modified>
</cp:coreProperties>
</file>