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oorsystems-my.sharepoint.com/personal/t_krause_door-systems_de/Documents/Marketing2/Dokumentation/12_Montageanleitungen/TOORS/original/Industrietore/Einbauzeichnungen/"/>
    </mc:Choice>
  </mc:AlternateContent>
  <xr:revisionPtr revIDLastSave="0" documentId="8_{17EAF5B5-91E2-4E6C-97EF-4E2ECF881C4F}" xr6:coauthVersionLast="47" xr6:coauthVersionMax="47" xr10:uidLastSave="{00000000-0000-0000-0000-000000000000}"/>
  <bookViews>
    <workbookView xWindow="28680" yWindow="-120" windowWidth="29040" windowHeight="15840" xr2:uid="{F2B66C26-2F38-468D-99A6-A9DFEFC16233}"/>
  </bookViews>
  <sheets>
    <sheet name="general" sheetId="1" r:id="rId1"/>
    <sheet name="SW-R" sheetId="2" r:id="rId2"/>
    <sheet name="SW-L" sheetId="3" r:id="rId3"/>
    <sheet name="Manually_operated" sheetId="4" r:id="rId4"/>
    <sheet name="Obrázky" sheetId="5" state="hidden" r:id="rId5"/>
  </sheets>
  <definedNames>
    <definedName name="_xlnm.Print_Area" localSheetId="0">general!$A$1:$AC$70</definedName>
    <definedName name="_xlnm.Print_Area" localSheetId="2">'SW-L'!$A$1:$I$49</definedName>
    <definedName name="_xlnm.Print_Area" localSheetId="1">'SW-R'!$A$1:$I$49</definedName>
    <definedName name="motor">INDEX(Obrázky!$E$20:$E$197, MATCH(general!$K$9,Obrázky!$D$20:$D$137,0))</definedName>
    <definedName name="motor1">INDEX(general!$BG$18:$BG$138, MATCH(general!$R$9,general!$BF$18:$BF$138,0))</definedName>
    <definedName name="Na_pravé_straně">" "</definedName>
    <definedName name="Obrázky">INDEX(Obrázky!$E5:$E$147, MATCH(Obrázky!$N$16,Obrázky!$E$20:$E$147,0))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4" i="5" l="1"/>
  <c r="Z13" i="5"/>
  <c r="Z12" i="5"/>
  <c r="AG76" i="1"/>
  <c r="G55" i="1" s="1"/>
  <c r="AG68" i="1"/>
  <c r="L67" i="1"/>
  <c r="L66" i="1"/>
  <c r="L65" i="1"/>
  <c r="P64" i="1"/>
  <c r="L63" i="1"/>
  <c r="K63" i="1"/>
  <c r="G63" i="1"/>
  <c r="F63" i="1"/>
  <c r="L62" i="1"/>
  <c r="K62" i="1"/>
  <c r="G62" i="1"/>
  <c r="F62" i="1"/>
  <c r="J61" i="1"/>
  <c r="F61" i="1"/>
  <c r="K60" i="1"/>
  <c r="F60" i="1"/>
  <c r="P59" i="1"/>
  <c r="O64" i="1" s="1"/>
  <c r="O59" i="1"/>
  <c r="N59" i="1"/>
  <c r="F59" i="1"/>
  <c r="G58" i="1"/>
  <c r="F58" i="1"/>
  <c r="L57" i="1"/>
  <c r="G57" i="1"/>
  <c r="F57" i="1"/>
  <c r="P56" i="1"/>
  <c r="L56" i="1"/>
  <c r="G56" i="1"/>
  <c r="K58" i="1" s="1"/>
  <c r="F56" i="1"/>
  <c r="AG50" i="1"/>
  <c r="AL45" i="1"/>
  <c r="AL42" i="1"/>
  <c r="I36" i="1"/>
  <c r="I35" i="1"/>
  <c r="I34" i="1"/>
  <c r="I33" i="1"/>
  <c r="I32" i="1"/>
  <c r="AG28" i="1"/>
  <c r="T15" i="1"/>
  <c r="S15" i="1"/>
  <c r="R13" i="1"/>
  <c r="Q12" i="1"/>
  <c r="P12" i="1"/>
  <c r="Q11" i="1"/>
  <c r="P11" i="1"/>
  <c r="O5" i="1"/>
  <c r="AE1" i="1"/>
  <c r="AG132" i="1" s="1"/>
  <c r="H57" i="1" s="1"/>
  <c r="AG94" i="1" l="1"/>
  <c r="AG104" i="1"/>
  <c r="L58" i="1"/>
  <c r="K65" i="1" s="1"/>
  <c r="AG113" i="1"/>
  <c r="AG125" i="1"/>
  <c r="AG2" i="1"/>
  <c r="AG45" i="1"/>
  <c r="AG86" i="1"/>
  <c r="G67" i="1"/>
  <c r="AG5" i="1"/>
  <c r="AG13" i="1"/>
  <c r="AG16" i="1"/>
  <c r="AG29" i="1"/>
  <c r="AG41" i="1"/>
  <c r="AG60" i="1"/>
  <c r="AG65" i="1"/>
  <c r="AG69" i="1"/>
  <c r="AG77" i="1"/>
  <c r="AG87" i="1"/>
  <c r="AG95" i="1"/>
  <c r="AG105" i="1"/>
  <c r="AG115" i="1"/>
  <c r="H11" i="1" s="1"/>
  <c r="AG126" i="1"/>
  <c r="J64" i="1"/>
  <c r="AG25" i="1"/>
  <c r="AG30" i="1"/>
  <c r="AG57" i="1"/>
  <c r="K67" i="1"/>
  <c r="AG70" i="1"/>
  <c r="AG78" i="1"/>
  <c r="AG88" i="1"/>
  <c r="AG96" i="1"/>
  <c r="AG106" i="1"/>
  <c r="AG116" i="1"/>
  <c r="AG127" i="1"/>
  <c r="AG6" i="1"/>
  <c r="AG14" i="1"/>
  <c r="AG20" i="1"/>
  <c r="AG35" i="1"/>
  <c r="AG42" i="1"/>
  <c r="AG51" i="1"/>
  <c r="AG56" i="1"/>
  <c r="AG64" i="1"/>
  <c r="G66" i="1"/>
  <c r="AG71" i="1"/>
  <c r="AG79" i="1"/>
  <c r="AG89" i="1"/>
  <c r="AG97" i="1"/>
  <c r="AG107" i="1"/>
  <c r="AG117" i="1"/>
  <c r="AG128" i="1"/>
  <c r="L60" i="1"/>
  <c r="AG31" i="1"/>
  <c r="AG48" i="1"/>
  <c r="AG55" i="1"/>
  <c r="AG62" i="1"/>
  <c r="AG67" i="1"/>
  <c r="AG72" i="1"/>
  <c r="AG80" i="1"/>
  <c r="AG90" i="1"/>
  <c r="AG99" i="1"/>
  <c r="AG108" i="1"/>
  <c r="AG119" i="1"/>
  <c r="B54" i="1" s="1"/>
  <c r="AG129" i="1"/>
  <c r="AG7" i="1"/>
  <c r="AG26" i="1"/>
  <c r="AG36" i="1"/>
  <c r="AG43" i="1"/>
  <c r="AG61" i="1"/>
  <c r="AG63" i="1"/>
  <c r="G65" i="1"/>
  <c r="K66" i="1"/>
  <c r="AG73" i="1"/>
  <c r="AG81" i="1"/>
  <c r="AG91" i="1"/>
  <c r="AG101" i="1"/>
  <c r="AG110" i="1"/>
  <c r="AG121" i="1"/>
  <c r="H13" i="1" s="1"/>
  <c r="AG130" i="1"/>
  <c r="B50" i="1" s="1"/>
  <c r="AG3" i="1"/>
  <c r="H3" i="1" s="1"/>
  <c r="AG4" i="1"/>
  <c r="H5" i="1" s="1"/>
  <c r="AG8" i="1"/>
  <c r="B49" i="1" s="1"/>
  <c r="AG27" i="1"/>
  <c r="AG32" i="1"/>
  <c r="AG44" i="1"/>
  <c r="AG49" i="1"/>
  <c r="J59" i="1"/>
  <c r="AG74" i="1"/>
  <c r="AG82" i="1"/>
  <c r="AG92" i="1"/>
  <c r="AG102" i="1"/>
  <c r="AG111" i="1"/>
  <c r="AG122" i="1"/>
  <c r="AG131" i="1"/>
  <c r="H56" i="1" s="1"/>
  <c r="AG12" i="1"/>
  <c r="AG21" i="1"/>
  <c r="AG15" i="1"/>
  <c r="AG22" i="1"/>
  <c r="AG37" i="1"/>
  <c r="AG66" i="1"/>
  <c r="AG75" i="1"/>
  <c r="AG85" i="1"/>
  <c r="AG93" i="1"/>
  <c r="AG103" i="1"/>
  <c r="AG112" i="1"/>
  <c r="AG123" i="1"/>
  <c r="AU5" i="1" l="1"/>
  <c r="D47" i="5"/>
  <c r="E42" i="3"/>
  <c r="AU4" i="1"/>
  <c r="E42" i="2"/>
  <c r="D20" i="5"/>
  <c r="Z11" i="5"/>
  <c r="Z10" i="5"/>
  <c r="C42" i="2"/>
  <c r="C42" i="3"/>
  <c r="C42" i="4"/>
  <c r="G60" i="1"/>
  <c r="G64" i="1"/>
  <c r="H65" i="1"/>
  <c r="AU3" i="1"/>
  <c r="D128" i="5"/>
  <c r="C40" i="2"/>
  <c r="C40" i="3"/>
  <c r="C40" i="4"/>
  <c r="AU1" i="1"/>
  <c r="D74" i="5"/>
  <c r="E42" i="4"/>
  <c r="AA61" i="1"/>
  <c r="M55" i="1"/>
  <c r="AU2" i="1"/>
  <c r="D101" i="5"/>
  <c r="Y26" i="1"/>
  <c r="R61" i="1"/>
  <c r="W2" i="1"/>
  <c r="V68" i="1"/>
  <c r="R47" i="1"/>
  <c r="Q10" i="1"/>
  <c r="Z68" i="1"/>
  <c r="R57" i="1"/>
  <c r="C65" i="1"/>
  <c r="H63" i="1"/>
  <c r="C64" i="1"/>
  <c r="H62" i="1"/>
  <c r="H60" i="1"/>
  <c r="R53" i="1"/>
  <c r="C66" i="1"/>
  <c r="B53" i="1"/>
  <c r="V61" i="1"/>
  <c r="K16" i="1"/>
  <c r="K15" i="1"/>
  <c r="E39" i="1"/>
  <c r="C61" i="1"/>
  <c r="C42" i="1"/>
  <c r="R35" i="1"/>
  <c r="B52" i="1"/>
  <c r="R58" i="1"/>
  <c r="L37" i="1"/>
  <c r="C58" i="1"/>
  <c r="M58" i="1"/>
  <c r="H66" i="1"/>
  <c r="R59" i="1"/>
  <c r="R51" i="1"/>
  <c r="H58" i="1"/>
  <c r="C63" i="1"/>
  <c r="D14" i="1"/>
  <c r="X47" i="1"/>
  <c r="I19" i="1"/>
  <c r="I28" i="1"/>
  <c r="I21" i="1"/>
  <c r="I23" i="1"/>
  <c r="I26" i="1"/>
  <c r="I24" i="1"/>
  <c r="C56" i="1"/>
  <c r="C57" i="1"/>
  <c r="AA68" i="1"/>
  <c r="H67" i="1"/>
  <c r="V63" i="1"/>
  <c r="H9" i="1"/>
  <c r="B51" i="1"/>
  <c r="Z61" i="1"/>
  <c r="R45" i="1"/>
  <c r="X61" i="1"/>
  <c r="H7" i="1"/>
  <c r="C59" i="1"/>
  <c r="T61" i="1"/>
  <c r="Y31" i="1"/>
  <c r="M63" i="1"/>
  <c r="C60" i="1"/>
  <c r="R54" i="1"/>
  <c r="AB61" i="1"/>
  <c r="G59" i="1"/>
  <c r="G61" i="1"/>
  <c r="Y21" i="1"/>
  <c r="B55" i="1"/>
  <c r="C62" i="1"/>
  <c r="C46" i="3" l="1"/>
  <c r="C46" i="4"/>
  <c r="C46" i="2"/>
  <c r="C44" i="2"/>
  <c r="C44" i="3"/>
  <c r="C44" i="4"/>
  <c r="C48" i="3"/>
  <c r="C48" i="4"/>
  <c r="C48" i="2"/>
</calcChain>
</file>

<file path=xl/sharedStrings.xml><?xml version="1.0" encoding="utf-8"?>
<sst xmlns="http://schemas.openxmlformats.org/spreadsheetml/2006/main" count="974" uniqueCount="871">
  <si>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</si>
  <si>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</si>
  <si>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</si>
  <si>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</si>
  <si>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</si>
  <si>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</si>
  <si>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</si>
  <si>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</si>
  <si>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</si>
  <si>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</si>
  <si>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</si>
  <si>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</si>
  <si>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</si>
  <si>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</si>
  <si>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</si>
  <si>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</si>
  <si>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</si>
  <si>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</si>
  <si>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</si>
  <si>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</si>
  <si>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</si>
  <si>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</si>
  <si>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</si>
  <si>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</si>
  <si>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</si>
  <si>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</si>
  <si>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</si>
  <si>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</si>
  <si>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</si>
  <si>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</si>
  <si>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</si>
  <si>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</si>
  <si>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</si>
  <si>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 xml:space="preserve">HL max 4100 mm; 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</si>
  <si>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</si>
  <si>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</si>
  <si>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</si>
  <si>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</si>
  <si>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</si>
  <si>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</si>
  <si>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</si>
  <si>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</si>
  <si>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</si>
  <si>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</si>
  <si>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W max 8000 mm; H max 6500 mm; max. 40 m2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</si>
  <si>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</si>
  <si>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</si>
  <si>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</si>
  <si>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</si>
  <si>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</si>
  <si>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</si>
  <si>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</si>
  <si>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</si>
  <si>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</si>
  <si>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</si>
  <si>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</si>
  <si>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</si>
  <si>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</si>
  <si>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</si>
  <si>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</si>
  <si>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</si>
  <si>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</si>
  <si>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</si>
  <si>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</si>
  <si>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</si>
  <si>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</si>
  <si>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</si>
  <si>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</si>
  <si>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</si>
  <si>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</si>
  <si>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</si>
  <si>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</si>
  <si>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</si>
  <si>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</si>
  <si>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</si>
  <si>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</si>
  <si>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</si>
  <si>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</si>
  <si>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</si>
  <si>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</si>
  <si>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</si>
  <si>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</si>
  <si>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</si>
  <si>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VEDENÍ PRO VYSOKÝ PŘEKLAD (HL)</t>
  </si>
  <si>
    <t>HIGH LIFT SYSTEM (HL)</t>
  </si>
  <si>
    <t xml:space="preserve"> HÖHERGEFÜHRTER BESCHLAG (HL)</t>
  </si>
  <si>
    <t>PROWADZENIE DLA WYSOKIEGO NADPROŻA (HL)</t>
  </si>
  <si>
    <t>LEVEE HAUTE (HL)</t>
  </si>
  <si>
    <t>HOOG beslagsysteem (HL)</t>
  </si>
  <si>
    <t>Kõrge tõste (HL)</t>
  </si>
  <si>
    <t>KORKEANOSTO (HL)</t>
  </si>
  <si>
    <t>ВЫСОКИЙ ПОДЪЕМ (HL)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</si>
  <si>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</si>
  <si>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</si>
  <si>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</si>
  <si>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</si>
  <si>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</si>
  <si>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 boven latei</t>
  </si>
  <si>
    <t>Vedrud ava kohal</t>
  </si>
  <si>
    <t>jouset ovipalkkin päällä</t>
  </si>
  <si>
    <t>нижнее расположение вала</t>
  </si>
  <si>
    <t>pro HL&gt;600 a HL&lt;=1200</t>
  </si>
  <si>
    <t>pro HL&gt;600 and HL&lt;=1200</t>
  </si>
  <si>
    <t>pro HL&gt;600 und HL&lt;=1200</t>
  </si>
  <si>
    <t>pro HL&gt;600 i HL&lt;=1200</t>
  </si>
  <si>
    <t>pro HL&gt;600 et HL&lt;=1200</t>
  </si>
  <si>
    <t>PANEEL 40 mm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</si>
  <si>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</si>
  <si>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</si>
  <si>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</si>
  <si>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</si>
  <si>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</si>
  <si>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</si>
  <si>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</si>
  <si>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</si>
  <si>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Max. WxH 5000x5500 max. 25m2</t>
  </si>
  <si>
    <t>Lamelli 40mm</t>
  </si>
  <si>
    <t xml:space="preserve">ТОЛЩИНА СЕКЦИИ 40мм </t>
  </si>
  <si>
    <t>Max. W x H 4000x4000</t>
  </si>
  <si>
    <t>elektrisch bediende deuren</t>
  </si>
  <si>
    <t>макс. ШхВ (WxH) 4000x4000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</si>
  <si>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</si>
  <si>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</si>
  <si>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</si>
  <si>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</si>
  <si>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</si>
  <si>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</si>
  <si>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</si>
  <si>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</si>
  <si>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</si>
  <si>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</si>
  <si>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</si>
  <si>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</si>
  <si>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</si>
  <si>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</si>
  <si>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</si>
  <si>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</si>
  <si>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</si>
  <si>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</si>
  <si>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</si>
  <si>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</si>
  <si>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</si>
  <si>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</si>
  <si>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</si>
  <si>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</si>
  <si>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</si>
  <si>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</si>
  <si>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</si>
  <si>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f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</si>
  <si>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</si>
  <si>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</si>
  <si>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</si>
  <si>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</si>
  <si>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</si>
  <si>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</si>
  <si>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</si>
  <si>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</si>
  <si>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</si>
  <si>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</si>
  <si>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</si>
  <si>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</si>
  <si>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</si>
  <si>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</si>
  <si>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</si>
  <si>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</si>
  <si>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</si>
  <si>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</si>
  <si>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</si>
  <si>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</si>
  <si>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</si>
  <si>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</si>
  <si>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</si>
  <si>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</si>
  <si>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</si>
  <si>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</si>
  <si>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</si>
  <si>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</si>
  <si>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</si>
  <si>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</si>
  <si>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</si>
  <si>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</si>
  <si>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Benodigde montagevlakken en vrije ruimtes, volgens tekening.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</si>
  <si>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</si>
  <si>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</si>
  <si>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</si>
  <si>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</si>
  <si>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</si>
  <si>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</si>
  <si>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</si>
  <si>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</si>
  <si>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</si>
  <si>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</si>
  <si>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</si>
  <si>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</si>
  <si>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</si>
  <si>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</si>
  <si>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</si>
  <si>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</si>
  <si>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</si>
  <si>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</si>
  <si>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</si>
  <si>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</si>
  <si>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</si>
  <si>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</si>
  <si>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</si>
  <si>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</si>
  <si>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</si>
  <si>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</si>
  <si>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</si>
  <si>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</si>
  <si>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</si>
  <si>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motoru.</t>
  </si>
  <si>
    <t>Provide suitable mounting surface for control panel.</t>
  </si>
  <si>
    <t>Montagefläche für Schaltkasten, Abmessungen.</t>
  </si>
  <si>
    <t>Zapewnić odpowiednią powierzchnię montażową dla jednostki sterującej silnika</t>
  </si>
  <si>
    <t xml:space="preserve">Assurer une surface de montage adéquate pour le coffret de commande du moteur </t>
  </si>
  <si>
    <t>Montagevlak t.b.v. schakelkast</t>
  </si>
  <si>
    <t xml:space="preserve">Kontrolleri jaoks piisava paigaldusruumi tagamine </t>
  </si>
  <si>
    <t xml:space="preserve">Tarjoa sopivan kiinnityspinnan  ohjauspaneelia varten </t>
  </si>
  <si>
    <t>необходимо обеспечить монтажную поверхность для панели управления</t>
  </si>
  <si>
    <t>NEZBYTNÁ MONTÁŽNÍ PLOCHA</t>
  </si>
  <si>
    <t>NECESSARY MOUNTING SURFACE</t>
  </si>
  <si>
    <t>BENÖTIGTE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</si>
  <si>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</si>
  <si>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</si>
  <si>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</si>
  <si>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</si>
  <si>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</si>
  <si>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</si>
  <si>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 xml:space="preserve">MONTÁŽNÍ PLOCHA PRO MOTOR </t>
  </si>
  <si>
    <t>MOUNTING SURFACE FOR MOTOR</t>
  </si>
  <si>
    <t xml:space="preserve">MONTAGEFLÄCHE FÜR DEN MOTOR </t>
  </si>
  <si>
    <t>POWIERZCHNIA MONTAŻOWA DLA SILNIKA</t>
  </si>
  <si>
    <t xml:space="preserve">SURFACE DE L'EMPLACEMENT POUR </t>
  </si>
  <si>
    <t>BENODIGD KADER VOOR MOTOR</t>
  </si>
  <si>
    <t xml:space="preserve">Vajalik ruum mootori paigalduseks </t>
  </si>
  <si>
    <t>KIINNITYSPINTA MOOTORILLE</t>
  </si>
  <si>
    <t xml:space="preserve">монтажная поверхность для мотора </t>
  </si>
  <si>
    <t>NEZBYTNÝ VOLNÝ PROSTOR</t>
  </si>
  <si>
    <t>NECESSARY FREE ROOM</t>
  </si>
  <si>
    <t>BENÖTIGTER FREIRAUM</t>
  </si>
  <si>
    <t>NIEZBĘDNA WOLNA PRZESTRZEŃ</t>
  </si>
  <si>
    <t>ESPACE LIBRE NECCESSARIE</t>
  </si>
  <si>
    <t xml:space="preserve">BENODIGDE VRIJE RUIMTE </t>
  </si>
  <si>
    <t xml:space="preserve">Vajalik vaba ruum </t>
  </si>
  <si>
    <t>TARVITTAVA VAPAA TILA</t>
  </si>
  <si>
    <t>необходимое свободное пространство</t>
  </si>
  <si>
    <t>EXTRA FREIRAUM FÜR MOTOR/KETTE</t>
  </si>
  <si>
    <t>sklon podlahy</t>
  </si>
  <si>
    <t>slope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</si>
  <si>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</si>
  <si>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</si>
  <si>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</si>
  <si>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</si>
  <si>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</si>
  <si>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</si>
  <si>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</si>
  <si>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</si>
  <si>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</si>
  <si>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</si>
  <si>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</si>
  <si>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</si>
  <si>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</si>
  <si>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</si>
  <si>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</si>
  <si>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</si>
  <si>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</si>
  <si>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</si>
  <si>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</si>
  <si>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</si>
  <si>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</si>
  <si>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</si>
  <si>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</si>
  <si>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</si>
  <si>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</si>
  <si>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</si>
  <si>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</si>
  <si>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</si>
  <si>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</si>
  <si>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</si>
  <si>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</si>
  <si>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</si>
  <si>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</si>
  <si>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</si>
  <si>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</t>
  </si>
  <si>
    <t>necessary side room for electrical- or hauling chain operation</t>
  </si>
  <si>
    <t xml:space="preserve">Benötigter Freiraum bei Elektro- oder Haspelkettenbedienung </t>
  </si>
  <si>
    <t>niezbędna przestrzeń boczna dla silnika lub napędu łańcuchowego</t>
  </si>
  <si>
    <t>écoinçon minimum requis pour le moteur ou treuil a chaîne</t>
  </si>
  <si>
    <t>benodigde vrije ruimte voor elektrische- of ketting bediening</t>
  </si>
  <si>
    <t>vajalik küljeruum mootori või tali puhul</t>
  </si>
  <si>
    <t xml:space="preserve">tarvittava tila mootori- tai ketjunostolle </t>
  </si>
  <si>
    <t>необходимое боковое пространство для электропривода или цепного редуктора</t>
  </si>
  <si>
    <t>montážní plocha pro řídící jednotku. Rozměry najdete v dokumentaci ŘJ.</t>
  </si>
  <si>
    <t>Mounting surface for control panel. See product documentation for dimensions</t>
  </si>
  <si>
    <t>Montagefläche für Antriebsteuerung. Siehe Produktdokumentation für Abmessungen</t>
  </si>
  <si>
    <t>Powierzchnia montażowa dla jednostki sterującej. Wymiary można znaleźć w dokumentacji produktu</t>
  </si>
  <si>
    <t>Surface de montage pour le Coffret de commande</t>
  </si>
  <si>
    <t>Montagevlak t.b.v. Zie productdocumentatie voor afmetingen</t>
  </si>
  <si>
    <t>Kontrolli paigaldusala. Vaata toote dokumentatsiooni mõõtmete kohta</t>
  </si>
  <si>
    <t>Kiinnityspinta ohjauspaneelia varten. Katso mitat tuoteasiakirjoista</t>
  </si>
  <si>
    <t>монтажная поверхность для блока управления. Размеры см. в документации на изделие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</si>
  <si>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</si>
  <si>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</si>
  <si>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</si>
  <si>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</si>
  <si>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Voir la documentation du produit pour les dimensions. 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</si>
  <si>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</si>
  <si>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</si>
  <si>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</si>
  <si>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</si>
  <si>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Zásuvka, parametry najdete v dokumentaci produktu</t>
  </si>
  <si>
    <t>Electric outlet parameters can be found in the product documentation.</t>
  </si>
  <si>
    <t>Die Parameter der Steckdosen sind in der Produktdokumentation zu finden.</t>
  </si>
  <si>
    <t>Parametry gniazdka elektrycznego można znaleźć w dokumentacji produktu.</t>
  </si>
  <si>
    <t>Les paramètres des prises électriques sont indiqués dans la documentation du produit.</t>
  </si>
  <si>
    <t>De parameters van het stopcontact zijn te vinden in de productdocumentatie.</t>
  </si>
  <si>
    <t>Elektripistiku parameetrid leiate toote dokumentatsioonist.</t>
  </si>
  <si>
    <t>Pistorasian parametrit löytyvät tuoteasiakirjoista.</t>
  </si>
  <si>
    <t>Параметры электрической розетки приведены в документации на изделие.</t>
  </si>
  <si>
    <t xml:space="preserve">Plocha, která se montuje, musí být rovná a pevná a všechny montážní plochy musí být v jedné rovině. </t>
  </si>
  <si>
    <t>Mounting surface must be flat and massive and all mounting surfaces must be in one level.</t>
  </si>
  <si>
    <t>Die hinteren Seiten der Sturze und Pfeiler, sowie die Montagefläche für das Federpaket müssen eben und auf einer Linie liegen.</t>
  </si>
  <si>
    <t>Powierzchnia, do której wykonywany jest montaż, musi być równa i stabilna,a wszystkie powierzchnie montażowe powinny znajdować się w jednej płaszczyźnie.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</si>
  <si>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</si>
  <si>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</si>
  <si>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Paigalduspind peab olema sirge, loodis ja mittepudenev ning kõik paigalduspinnad peavad olema ühes tasapinnas</t>
  </si>
  <si>
    <t>Asennuspintojen pitää olla tasaisia, kiinteitä ja samassa linjassa.</t>
  </si>
  <si>
    <t>Монтажная поверхность должна быть ровной и располагаться в одной вертикальной плоскости.</t>
  </si>
  <si>
    <t xml:space="preserve">W </t>
  </si>
  <si>
    <t>F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</si>
  <si>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</si>
  <si>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</si>
  <si>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</si>
  <si>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</si>
  <si>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</si>
  <si>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</si>
  <si>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</si>
  <si>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</si>
  <si>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</si>
  <si>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 xml:space="preserve">H 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</si>
  <si>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</si>
  <si>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</si>
  <si>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</si>
  <si>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</si>
  <si>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</si>
  <si>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</si>
  <si>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</si>
  <si>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</si>
  <si>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</si>
  <si>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HL</t>
  </si>
  <si>
    <t>A</t>
  </si>
  <si>
    <t>HL &lt; 1370 &amp; H&lt; 4800</t>
  </si>
  <si>
    <t>HL + 270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</si>
  <si>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</si>
  <si>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</si>
  <si>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</si>
  <si>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</si>
  <si>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</si>
  <si>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</si>
  <si>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</si>
  <si>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</si>
  <si>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</si>
  <si>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>L</t>
  </si>
  <si>
    <t>1370 = &lt;  HL &lt; 3050 &amp; H&lt; 4800</t>
  </si>
  <si>
    <t>HL + 320</t>
  </si>
  <si>
    <t>ширина проема</t>
  </si>
  <si>
    <t xml:space="preserve">R </t>
  </si>
  <si>
    <t xml:space="preserve">3050 = &lt;  HL &lt; 4100 </t>
  </si>
  <si>
    <t>HL + 360</t>
  </si>
  <si>
    <t>K. Luňák</t>
  </si>
  <si>
    <t>R. Kříž</t>
  </si>
  <si>
    <t>STP</t>
  </si>
  <si>
    <t>-</t>
  </si>
  <si>
    <t>A3</t>
  </si>
  <si>
    <t>высота проема</t>
  </si>
  <si>
    <t xml:space="preserve">D </t>
  </si>
  <si>
    <t>http://door-documents.com/en/indy-installation-drawing-hl</t>
  </si>
  <si>
    <t>Zvýšené vedení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</si>
  <si>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</si>
  <si>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</si>
  <si>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</si>
  <si>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</si>
  <si>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</si>
  <si>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</si>
  <si>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</si>
  <si>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 xml:space="preserve">X 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</si>
  <si>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</si>
  <si>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</si>
  <si>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</si>
  <si>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</si>
  <si>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</si>
  <si>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</si>
  <si>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</si>
  <si>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</si>
  <si>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</si>
  <si>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Y </t>
  </si>
  <si>
    <t xml:space="preserve">HL&lt; 1370 </t>
  </si>
  <si>
    <t>HL +160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</si>
  <si>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</si>
  <si>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</si>
  <si>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</si>
  <si>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</si>
  <si>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</si>
  <si>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</si>
  <si>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</si>
  <si>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</si>
  <si>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</si>
  <si>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 xml:space="preserve">Z </t>
  </si>
  <si>
    <t>HL&lt; 3050</t>
  </si>
  <si>
    <t>HL +190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</si>
  <si>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</si>
  <si>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</si>
  <si>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</si>
  <si>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</si>
  <si>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</si>
  <si>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</si>
  <si>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</si>
  <si>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</si>
  <si>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</si>
  <si>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HL&lt; 4100</t>
  </si>
  <si>
    <t>HL +210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</si>
  <si>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</si>
  <si>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</si>
  <si>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</si>
  <si>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</si>
  <si>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</si>
  <si>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</si>
  <si>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</si>
  <si>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</si>
  <si>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</si>
  <si>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</si>
  <si>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</si>
  <si>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</si>
  <si>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</si>
  <si>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</si>
  <si>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</si>
  <si>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</si>
  <si>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</si>
  <si>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</si>
  <si>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</si>
  <si>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</si>
  <si>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</si>
  <si>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</si>
  <si>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</si>
  <si>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</si>
  <si>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</si>
  <si>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</si>
  <si>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</si>
  <si>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</si>
  <si>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</si>
  <si>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</si>
  <si>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</si>
  <si>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</si>
  <si>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</si>
  <si>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</si>
  <si>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</si>
  <si>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</si>
  <si>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</si>
  <si>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</si>
  <si>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</si>
  <si>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</si>
  <si>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</si>
  <si>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</si>
  <si>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</si>
  <si>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</si>
  <si>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</si>
  <si>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</si>
  <si>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</si>
  <si>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</si>
  <si>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</si>
  <si>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</si>
  <si>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</si>
  <si>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</si>
  <si>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</si>
  <si>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</si>
  <si>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</si>
  <si>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</si>
  <si>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</si>
  <si>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</si>
  <si>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</si>
  <si>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</si>
  <si>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</si>
  <si>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</si>
  <si>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</si>
  <si>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</si>
  <si>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</si>
  <si>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</si>
  <si>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</si>
  <si>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</si>
  <si>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</si>
  <si>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</si>
  <si>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</si>
  <si>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</si>
  <si>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</si>
  <si>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</si>
  <si>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</si>
  <si>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</si>
  <si>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</si>
  <si>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</si>
  <si>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</si>
  <si>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</si>
  <si>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</si>
  <si>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</si>
  <si>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</si>
  <si>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</si>
  <si>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</si>
  <si>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</si>
  <si>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</si>
  <si>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</si>
  <si>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</si>
  <si>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</si>
  <si>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</si>
  <si>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</si>
  <si>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</si>
  <si>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</si>
  <si>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</si>
  <si>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</si>
  <si>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</si>
  <si>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</si>
  <si>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</si>
  <si>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</si>
  <si>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</si>
  <si>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</si>
  <si>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</si>
  <si>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</si>
  <si>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</si>
  <si>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</si>
  <si>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</si>
  <si>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</si>
  <si>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</si>
  <si>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</si>
  <si>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</si>
  <si>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</si>
  <si>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</si>
  <si>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</si>
  <si>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</si>
  <si>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</si>
  <si>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</si>
  <si>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</si>
  <si>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</si>
  <si>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</si>
  <si>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</si>
  <si>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</si>
  <si>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</si>
  <si>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</si>
  <si>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</si>
  <si>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</si>
  <si>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</si>
  <si>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</si>
  <si>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</si>
  <si>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</si>
  <si>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</si>
  <si>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</si>
  <si>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</si>
  <si>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</si>
  <si>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</si>
  <si>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</si>
  <si>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</si>
  <si>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</si>
  <si>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</si>
  <si>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</si>
  <si>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by: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</si>
  <si>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</si>
  <si>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</si>
  <si>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</si>
  <si>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</si>
  <si>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</si>
  <si>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</si>
  <si>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</si>
  <si>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</si>
  <si>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</si>
  <si>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</si>
  <si>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</si>
  <si>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</si>
  <si>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</si>
  <si>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</si>
  <si>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</si>
  <si>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</si>
  <si>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</si>
  <si>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</si>
  <si>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</si>
  <si>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</si>
  <si>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</si>
  <si>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</si>
  <si>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</si>
  <si>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</si>
  <si>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</si>
  <si>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</si>
  <si>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</si>
  <si>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</si>
  <si>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</si>
  <si>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</si>
  <si>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</si>
  <si>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</si>
  <si>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</si>
  <si>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</si>
  <si>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</si>
  <si>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</si>
  <si>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</si>
  <si>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</si>
  <si>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</si>
  <si>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</si>
  <si>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</si>
  <si>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</si>
  <si>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</si>
  <si>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</si>
  <si>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</si>
  <si>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</si>
  <si>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</si>
  <si>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</si>
  <si>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                    VEDENÍ PRO VYSOKÝ PŘEKLAD (HL)</t>
  </si>
  <si>
    <t>INSTALLATION DRAWING             HIGH LIFT SYSTEM (HL)</t>
  </si>
  <si>
    <t>BAUBEREITSCHAFT</t>
  </si>
  <si>
    <t>PRZYGOTOWANIE KONSTRUKCYJNE                      PROWADZENIE DLA WYSOKIEGO NADPROZA(HL)</t>
  </si>
  <si>
    <t>PLAN DE RESERVATIONS &amp; ENCOMBREMENTS                                       LEVEE HAUTE (HL)</t>
  </si>
  <si>
    <t>INBOUWTEKENING VOORGE                             HOOG beslagsysteem (HL)</t>
  </si>
  <si>
    <t>Paigaldusjoonis kõrge tõste (HL)</t>
  </si>
  <si>
    <t>ASENNUSPIIRUSTUS KORKEANOSTO (HL)</t>
  </si>
  <si>
    <t>монтажный чертеж: ВЫСОКИЙ ПОДЪЕМ (HL)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</si>
  <si>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</si>
  <si>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</si>
  <si>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</si>
  <si>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</si>
  <si>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verenpakket boven latei</t>
  </si>
  <si>
    <t>vedrud ava kohal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</si>
  <si>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</si>
  <si>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</si>
  <si>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</si>
  <si>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</si>
  <si>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</si>
  <si>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</si>
  <si>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</si>
  <si>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</si>
  <si>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</si>
  <si>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</si>
  <si>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</si>
  <si>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</si>
  <si>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</si>
  <si>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</si>
  <si>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</si>
  <si>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</si>
  <si>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</si>
  <si>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</si>
  <si>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</si>
  <si>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</si>
  <si>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</si>
  <si>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</si>
  <si>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</si>
  <si>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</si>
  <si>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</si>
  <si>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</si>
  <si>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</si>
  <si>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</si>
  <si>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</si>
  <si>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vajalik: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</si>
  <si>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</si>
  <si>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</si>
  <si>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</si>
  <si>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</si>
  <si>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</si>
  <si>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</si>
  <si>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</si>
  <si>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</si>
  <si>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</si>
  <si>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</si>
  <si>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</si>
  <si>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</si>
  <si>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</si>
  <si>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</si>
  <si>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</si>
  <si>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</si>
  <si>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</si>
  <si>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</si>
  <si>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</si>
  <si>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</si>
  <si>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</si>
  <si>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</si>
  <si>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</si>
  <si>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</si>
  <si>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</si>
  <si>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</si>
  <si>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</si>
  <si>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</si>
  <si>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</si>
  <si>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</si>
  <si>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</si>
  <si>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</si>
  <si>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</si>
  <si>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</si>
  <si>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</si>
  <si>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 vlevo</t>
  </si>
  <si>
    <t>hauling chain operated - left</t>
  </si>
  <si>
    <t>Haspelkette - links</t>
  </si>
  <si>
    <t>Łańcuch napędu -  lewy</t>
  </si>
  <si>
    <t>TREUIL A CHAINE - gauche</t>
  </si>
  <si>
    <t>handketting - links</t>
  </si>
  <si>
    <t>taliga - vasakule</t>
  </si>
  <si>
    <t>ketjukäyttöinen - vasen</t>
  </si>
  <si>
    <t xml:space="preserve">цепной привод -  левый
</t>
  </si>
  <si>
    <t>řetězovým převodem vpravo</t>
  </si>
  <si>
    <t>hauling chain operated - right</t>
  </si>
  <si>
    <t>Haspelkette - rechts</t>
  </si>
  <si>
    <t>Łańcuch napędu -  prawy</t>
  </si>
  <si>
    <t>TREUIL A CHAINE - droite</t>
  </si>
  <si>
    <t>handketting - rechts</t>
  </si>
  <si>
    <t>taliga - paremale</t>
  </si>
  <si>
    <t>ketjukäyttöinen - oikea</t>
  </si>
  <si>
    <t>цепной привод -  правая</t>
  </si>
  <si>
    <t>Umístění motoru</t>
  </si>
  <si>
    <t>Possition of motor</t>
  </si>
  <si>
    <t>Antriebsposition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</si>
  <si>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</si>
  <si>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</si>
  <si>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</si>
  <si>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</si>
  <si>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</si>
  <si>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</si>
  <si>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Elektricky - motor vlevo</t>
  </si>
  <si>
    <t>electric motor on the left</t>
  </si>
  <si>
    <t>Antrieb - links</t>
  </si>
  <si>
    <t>silnik elektryczny po lewej stronie</t>
  </si>
  <si>
    <t>moteur électrique à gauche</t>
  </si>
  <si>
    <t>elektromotor links</t>
  </si>
  <si>
    <t>elektrimootor vasakul</t>
  </si>
  <si>
    <t>sähkömoottori oikealla</t>
  </si>
  <si>
    <t>электродвигатель слева</t>
  </si>
  <si>
    <t>Elektricky - motor vpravo</t>
  </si>
  <si>
    <t>electric motor on the right</t>
  </si>
  <si>
    <t>Antrieb - rechts</t>
  </si>
  <si>
    <t>silnik elektryczny po prawej stronie</t>
  </si>
  <si>
    <t>moteur électrique à droite</t>
  </si>
  <si>
    <t>elektromotor recht</t>
  </si>
  <si>
    <t>elektrimootor paremal</t>
  </si>
  <si>
    <t>sähkömoottori vasemmalla</t>
  </si>
  <si>
    <t>электродвигатель справа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</si>
  <si>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</si>
  <si>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</si>
  <si>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</si>
  <si>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</si>
  <si>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</si>
  <si>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</si>
  <si>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když B&lt;2000 -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</si>
  <si>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</si>
  <si>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</si>
  <si>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</si>
  <si>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</si>
  <si>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</si>
  <si>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</si>
  <si>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</si>
  <si>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</si>
  <si>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</si>
  <si>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</si>
  <si>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</si>
  <si>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</si>
  <si>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</si>
  <si>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</si>
  <si>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</si>
  <si>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</si>
  <si>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</si>
  <si>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</si>
  <si>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</si>
  <si>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</si>
  <si>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</si>
  <si>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</si>
  <si>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</si>
  <si>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</si>
  <si>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</si>
  <si>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</si>
  <si>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</si>
  <si>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</si>
  <si>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</si>
  <si>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</si>
  <si>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</si>
  <si>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</si>
  <si>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Když 1 1/4" hřídel, tak překlad automaticky HL+360 a osa hřídele HL+210 mm</t>
  </si>
  <si>
    <t>When 1 1/4 "shaft, lintel is HL+360 and axis of shaft is HL + 210 mm</t>
  </si>
  <si>
    <t>Wenn 1 1/4 "Schaft, Sturz ist HL + 360 und Achse der Welle ist HL + 210 mm</t>
  </si>
  <si>
    <t>Po 1 1/4 "Wał, nadproża jest HL + 360 i oś wału jest HL + 210 mm</t>
  </si>
  <si>
    <t>Lorsque 1 1/4 "arbre, linteau est HL + 360 et l'axe ou l'arbre est HL + 210 mm</t>
  </si>
  <si>
    <t>Wanneer 1 1/4 "schacht, latei is HL + 360 en as van de as is HL + 210 mm</t>
  </si>
  <si>
    <t>1 1/4" võlli puhul, sillus on HL+360 ja võlli kesktelg on HL+210 MM</t>
  </si>
  <si>
    <t>Kun 1 1/4 "akseli, ovipalkki on HL + 360 ja akselin keskiviiva on HL + 210 mm</t>
  </si>
  <si>
    <t>при использовании вала 1,25 дюйма перемычка (F) = HL+360 и ось вала (A) = HL+210мм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</si>
  <si>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</si>
  <si>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</si>
  <si>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</si>
  <si>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</si>
  <si>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</si>
  <si>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</si>
  <si>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</si>
  <si>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</si>
  <si>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</si>
  <si>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</si>
  <si>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</si>
  <si>
    <t>RÁM - VEDENÍ PRO VYSOKÝ PŘEKLAD (HL)</t>
  </si>
  <si>
    <t>FRAME - HIGH LIFT SYSTEM (HL)</t>
  </si>
  <si>
    <t>RAHMEN -  HÖHERGEFÜHRTER BESCHLAG (HL)</t>
  </si>
  <si>
    <t>RAMA - PROWADZENIE DLA WYSOKIEGO NADPROŻA (HL)</t>
  </si>
  <si>
    <t>CARDE - LEVEE HAUTE (HL)</t>
  </si>
  <si>
    <t>RAMM - HOOG beslagsysteem (HL)</t>
  </si>
  <si>
    <t>RAAM - Kõrge tõste (HL)</t>
  </si>
  <si>
    <t>KEHYS - KORKEANOSTO (HL)</t>
  </si>
  <si>
    <t xml:space="preserve">РАМКА - ВЫСОКИЙ ПОДЪЕМ (HL) </t>
  </si>
  <si>
    <t>Nabídka/Objednávka:</t>
  </si>
  <si>
    <t>Offer/Order:</t>
  </si>
  <si>
    <t>Angebot/Bestellung:</t>
  </si>
  <si>
    <t>Oferta/Zamówienie:</t>
  </si>
  <si>
    <t>Offre/Commande:</t>
  </si>
  <si>
    <t>Offerte/Order:</t>
  </si>
  <si>
    <t>Pakkumine/tellimus:</t>
  </si>
  <si>
    <t>Tarjous/Tilaus:</t>
  </si>
  <si>
    <t>Предложение/заказ:</t>
  </si>
  <si>
    <t>Pozice:</t>
  </si>
  <si>
    <t>Position:</t>
  </si>
  <si>
    <t>Pozycje:</t>
  </si>
  <si>
    <t>Positions:</t>
  </si>
  <si>
    <t>Positie:</t>
  </si>
  <si>
    <t>Ametikohad:</t>
  </si>
  <si>
    <t>Työpaikat:</t>
  </si>
  <si>
    <t>Позиции:</t>
  </si>
  <si>
    <t>Levá strana</t>
  </si>
  <si>
    <t xml:space="preserve">Left side </t>
  </si>
  <si>
    <t>Linke Seite</t>
  </si>
  <si>
    <t>Lewa strona</t>
  </si>
  <si>
    <t>Côté gauche</t>
  </si>
  <si>
    <t>Linkerzijde</t>
  </si>
  <si>
    <t>Vasakpoolne</t>
  </si>
  <si>
    <t>Vasen puoli</t>
  </si>
  <si>
    <t>левая сторона</t>
  </si>
  <si>
    <t>Pravá strana</t>
  </si>
  <si>
    <t>Right side</t>
  </si>
  <si>
    <t>Rechte Seite</t>
  </si>
  <si>
    <t>Prawa strona</t>
  </si>
  <si>
    <t>Côté droit</t>
  </si>
  <si>
    <t>Rechterkant</t>
  </si>
  <si>
    <t>Paremal pool</t>
  </si>
  <si>
    <t>Oikea puoli</t>
  </si>
  <si>
    <t>Pro pojistku při prasknutí lanka s oranžovým krytem minimální boční prostor (L a R) min. 145mm</t>
  </si>
  <si>
    <t>For cable break device with orange cover  side space (L and R) min. 145mm</t>
  </si>
  <si>
    <t>Für Seilbruchsicher mit orangefarbenem Deckel Seitenabstand (L und R) min. 145mm</t>
  </si>
  <si>
    <t>Dla przerywacza kabla z pomarańczową osłoną odstęp boczny (L i R) min. 145 mm</t>
  </si>
  <si>
    <t>Pour les dispositifs de coupure de câble avec couvercle orange espace latéral (G et D) min. 145mm</t>
  </si>
  <si>
    <t>Voor kabelbreekapparaat met oranje afdekking Zijruimte (L en R) min. 145 mm</t>
  </si>
  <si>
    <t>Oranži kattega kaablikatkestusseadme jaoks külgmised ruumid (L ja R) min. 145mm</t>
  </si>
  <si>
    <t>Kaapelin katkaisulaitteelle, jossa on oranssi kansi Sivutila (L ja R) min. 145mm.</t>
  </si>
  <si>
    <t>Для устройства разрыва кабеля с оранжевой крышкой боковое пространство (L и R) мин. 145 мм</t>
  </si>
  <si>
    <t>Strana motoru</t>
  </si>
  <si>
    <t xml:space="preserve">Motor side </t>
  </si>
  <si>
    <t xml:space="preserve">Antriebseite </t>
  </si>
  <si>
    <t xml:space="preserve">Strona silnika </t>
  </si>
  <si>
    <t xml:space="preserve">Côté moteur </t>
  </si>
  <si>
    <t xml:space="preserve">Motorzijde </t>
  </si>
  <si>
    <t xml:space="preserve">Mootori pool </t>
  </si>
  <si>
    <t xml:space="preserve">Moottorin puoli </t>
  </si>
  <si>
    <t xml:space="preserve">Сторона двигателя </t>
  </si>
  <si>
    <t>Druhá strana</t>
  </si>
  <si>
    <t>Other side</t>
  </si>
  <si>
    <t xml:space="preserve">Andere Seite </t>
  </si>
  <si>
    <t xml:space="preserve">Druga strona </t>
  </si>
  <si>
    <t xml:space="preserve">Autre côté </t>
  </si>
  <si>
    <t xml:space="preserve">Andere kant </t>
  </si>
  <si>
    <t xml:space="preserve">Teine pool </t>
  </si>
  <si>
    <t xml:space="preserve">Muu puoli </t>
  </si>
  <si>
    <t xml:space="preserve">Другая сторона </t>
  </si>
  <si>
    <t>Pomocné výpočty</t>
  </si>
  <si>
    <t>L=</t>
  </si>
  <si>
    <t>R=</t>
  </si>
  <si>
    <t>W=</t>
  </si>
  <si>
    <t xml:space="preserve">L+W+R = </t>
  </si>
  <si>
    <t xml:space="preserve">HL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</si>
</sst>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č&quot;* #,##0.00_);_(&quot;Kč&quot;* \(#,##0.00\);_(&quot;Kč&quot;* &quot;-&quot;??_);_(@_)"/>
  </numFmts>
  <fonts count="28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rgb="FFFFAE5D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4"/>
      <color rgb="FFFF0000"/>
      <name val="Calibri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0"/>
      <color indexed="8"/>
      <name val="Arial Unicode MS"/>
      <family val="2"/>
      <charset val="238"/>
    </font>
    <font>
      <sz val="11"/>
      <color theme="1"/>
      <name val="Arial"/>
      <family val="2"/>
      <charset val="238"/>
    </font>
    <font>
      <sz val="12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/>
    <xf numFmtId="0" fontId="4" fillId="0" borderId="0" xfId="0" applyFont="1"/>
    <xf numFmtId="0" fontId="5" fillId="4" borderId="0" xfId="0" applyFont="1" applyFill="1" applyAlignment="1" applyProtection="1">
      <alignment horizontal="center"/>
      <protection locked="0"/>
    </xf>
    <xf numFmtId="0" fontId="6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3" borderId="0" xfId="0" applyFont="1" applyFill="1"/>
    <xf numFmtId="0" fontId="0" fillId="4" borderId="0" xfId="0" applyFill="1" applyAlignment="1" applyProtection="1">
      <alignment horizontal="center"/>
      <protection locked="0"/>
    </xf>
    <xf numFmtId="0" fontId="8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11" xfId="0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12" xfId="0" applyFont="1" applyBorder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/>
    <xf numFmtId="1" fontId="11" fillId="0" borderId="0" xfId="1" applyNumberFormat="1" applyFont="1" applyAlignment="1">
      <alignment horizontal="left"/>
    </xf>
    <xf numFmtId="0" fontId="16" fillId="0" borderId="0" xfId="0" applyFont="1"/>
    <xf numFmtId="1" fontId="17" fillId="0" borderId="0" xfId="0" applyNumberFormat="1" applyFont="1" applyAlignment="1">
      <alignment horizontal="left" vertical="top"/>
    </xf>
    <xf numFmtId="0" fontId="0" fillId="0" borderId="0" xfId="0" applyAlignment="1">
      <alignment textRotation="90"/>
    </xf>
    <xf numFmtId="0" fontId="0" fillId="0" borderId="0" xfId="0" applyAlignment="1">
      <alignment horizontal="left" vertical="top" textRotation="90"/>
    </xf>
    <xf numFmtId="0" fontId="17" fillId="0" borderId="0" xfId="0" applyFont="1" applyAlignment="1">
      <alignment horizontal="right" vertical="center" textRotation="90"/>
    </xf>
    <xf numFmtId="0" fontId="18" fillId="0" borderId="0" xfId="0" applyFont="1"/>
    <xf numFmtId="0" fontId="0" fillId="0" borderId="0" xfId="0" applyAlignment="1">
      <alignment horizontal="right" vertical="top" textRotation="90"/>
    </xf>
    <xf numFmtId="0" fontId="0" fillId="0" borderId="0" xfId="0" applyAlignment="1">
      <alignment horizontal="right"/>
    </xf>
    <xf numFmtId="0" fontId="0" fillId="0" borderId="0" xfId="0" applyAlignment="1">
      <alignment vertical="center" textRotation="90"/>
    </xf>
    <xf numFmtId="0" fontId="19" fillId="0" borderId="0" xfId="0" applyFont="1"/>
    <xf numFmtId="0" fontId="20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top" textRotation="90"/>
    </xf>
    <xf numFmtId="0" fontId="7" fillId="0" borderId="0" xfId="0" applyFont="1" applyAlignment="1">
      <alignment wrapText="1"/>
    </xf>
    <xf numFmtId="0" fontId="11" fillId="0" borderId="12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0" fillId="0" borderId="12" xfId="0" applyBorder="1"/>
    <xf numFmtId="0" fontId="17" fillId="0" borderId="0" xfId="0" applyFont="1"/>
    <xf numFmtId="0" fontId="1" fillId="0" borderId="0" xfId="0" applyFont="1"/>
    <xf numFmtId="0" fontId="7" fillId="0" borderId="0" xfId="0" applyFont="1" applyAlignment="1">
      <alignment textRotation="90"/>
    </xf>
    <xf numFmtId="0" fontId="21" fillId="0" borderId="12" xfId="0" applyFont="1" applyBorder="1"/>
    <xf numFmtId="0" fontId="21" fillId="0" borderId="0" xfId="0" applyFont="1"/>
    <xf numFmtId="0" fontId="7" fillId="0" borderId="12" xfId="0" applyFont="1" applyBorder="1"/>
    <xf numFmtId="0" fontId="7" fillId="0" borderId="1" xfId="0" applyFont="1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3" borderId="14" xfId="0" applyFill="1" applyBorder="1"/>
    <xf numFmtId="0" fontId="0" fillId="3" borderId="1" xfId="0" applyFill="1" applyBorder="1"/>
    <xf numFmtId="0" fontId="0" fillId="3" borderId="11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1" xfId="0" applyFill="1" applyBorder="1"/>
    <xf numFmtId="0" fontId="0" fillId="0" borderId="15" xfId="0" applyBorder="1" applyAlignment="1">
      <alignment horizontal="center"/>
    </xf>
    <xf numFmtId="0" fontId="22" fillId="0" borderId="0" xfId="0" applyFont="1"/>
    <xf numFmtId="0" fontId="0" fillId="0" borderId="15" xfId="0" applyBorder="1"/>
    <xf numFmtId="0" fontId="22" fillId="0" borderId="11" xfId="0" applyFont="1" applyBorder="1"/>
    <xf numFmtId="0" fontId="0" fillId="0" borderId="6" xfId="0" applyBorder="1"/>
    <xf numFmtId="0" fontId="23" fillId="0" borderId="14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5" borderId="14" xfId="0" applyFont="1" applyFill="1" applyBorder="1"/>
    <xf numFmtId="0" fontId="0" fillId="0" borderId="17" xfId="0" applyBorder="1"/>
    <xf numFmtId="0" fontId="23" fillId="0" borderId="13" xfId="0" applyFont="1" applyBorder="1"/>
    <xf numFmtId="0" fontId="23" fillId="0" borderId="11" xfId="0" applyFont="1" applyBorder="1" applyAlignment="1">
      <alignment horizontal="right"/>
    </xf>
    <xf numFmtId="0" fontId="0" fillId="0" borderId="13" xfId="0" applyBorder="1" applyAlignment="1">
      <alignment horizontal="center"/>
    </xf>
    <xf numFmtId="14" fontId="0" fillId="0" borderId="18" xfId="0" applyNumberFormat="1" applyBorder="1"/>
    <xf numFmtId="0" fontId="0" fillId="0" borderId="17" xfId="0" applyBorder="1" applyAlignment="1">
      <alignment horizontal="center"/>
    </xf>
    <xf numFmtId="0" fontId="0" fillId="3" borderId="13" xfId="0" applyFill="1" applyBorder="1" applyAlignment="1">
      <alignment horizontal="left"/>
    </xf>
    <xf numFmtId="0" fontId="23" fillId="3" borderId="14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3" xfId="0" applyFill="1" applyBorder="1"/>
    <xf numFmtId="0" fontId="0" fillId="0" borderId="14" xfId="0" applyBorder="1" applyAlignment="1">
      <alignment horizontal="left"/>
    </xf>
    <xf numFmtId="0" fontId="24" fillId="0" borderId="14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/>
    <xf numFmtId="0" fontId="23" fillId="0" borderId="1" xfId="0" applyFont="1" applyBorder="1" applyAlignment="1">
      <alignment horizontal="center"/>
    </xf>
    <xf numFmtId="0" fontId="0" fillId="0" borderId="16" xfId="0" applyBorder="1"/>
    <xf numFmtId="0" fontId="0" fillId="0" borderId="13" xfId="0" applyBorder="1" applyAlignment="1">
      <alignment horizontal="left"/>
    </xf>
    <xf numFmtId="0" fontId="0" fillId="0" borderId="18" xfId="0" applyBorder="1"/>
    <xf numFmtId="0" fontId="0" fillId="0" borderId="18" xfId="0" applyBorder="1" applyAlignment="1">
      <alignment horizontal="center"/>
    </xf>
    <xf numFmtId="0" fontId="23" fillId="0" borderId="0" xfId="0" applyFont="1"/>
    <xf numFmtId="0" fontId="26" fillId="0" borderId="0" xfId="0" applyFont="1"/>
    <xf numFmtId="0" fontId="0" fillId="0" borderId="0" xfId="0" applyAlignment="1">
      <alignment wrapText="1"/>
    </xf>
    <xf numFmtId="0" fontId="27" fillId="0" borderId="0" xfId="0" applyFont="1"/>
    <xf numFmtId="0" fontId="11" fillId="0" borderId="2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12" xfId="0" applyFont="1" applyBorder="1"/>
    <xf numFmtId="0" fontId="11" fillId="0" borderId="4" xfId="0" applyFont="1" applyBorder="1"/>
    <xf numFmtId="0" fontId="0" fillId="0" borderId="19" xfId="0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25" fillId="0" borderId="2" xfId="0" applyFont="1" applyBorder="1" applyAlignment="1">
      <alignment horizontal="center" vertical="center" wrapText="1" shrinkToFit="1"/>
    </xf>
    <xf numFmtId="0" fontId="25" fillId="0" borderId="5" xfId="0" applyFont="1" applyBorder="1" applyAlignment="1">
      <alignment horizontal="center" vertical="center" wrapText="1" shrinkToFit="1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7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17" fillId="0" borderId="0" xfId="0" applyFont="1" applyAlignment="1">
      <alignment horizontal="left" vertical="center" textRotation="89"/>
    </xf>
    <xf numFmtId="0" fontId="0" fillId="6" borderId="0" xfId="0" applyFill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right" vertical="center" textRotation="90"/>
    </xf>
    <xf numFmtId="0" fontId="6" fillId="0" borderId="0" xfId="0" applyFont="1" applyAlignment="1">
      <alignment horizontal="center" textRotation="89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textRotation="90"/>
    </xf>
    <xf numFmtId="0" fontId="11" fillId="0" borderId="12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textRotation="90"/>
    </xf>
    <xf numFmtId="0" fontId="11" fillId="0" borderId="0" xfId="0" applyFont="1" applyAlignment="1">
      <alignment horizontal="center" textRotation="90"/>
    </xf>
    <xf numFmtId="0" fontId="11" fillId="0" borderId="12" xfId="0" applyFont="1" applyBorder="1" applyAlignment="1">
      <alignment horizontal="center" vertical="top" textRotation="90"/>
    </xf>
    <xf numFmtId="0" fontId="17" fillId="0" borderId="0" xfId="0" applyFont="1" applyAlignment="1">
      <alignment horizontal="right" textRotation="90"/>
    </xf>
    <xf numFmtId="0" fontId="17" fillId="0" borderId="0" xfId="0" applyFont="1" applyAlignment="1">
      <alignment horizontal="right" vertical="top" textRotation="90"/>
    </xf>
    <xf numFmtId="0" fontId="11" fillId="0" borderId="0" xfId="0" applyFont="1" applyAlignment="1">
      <alignment horizontal="right" textRotation="90"/>
    </xf>
    <xf numFmtId="0" fontId="5" fillId="4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5" fillId="6" borderId="0" xfId="0" applyFont="1" applyFill="1" applyAlignment="1" applyProtection="1">
      <alignment horizontal="center"/>
      <protection locked="0"/>
    </xf>
    <xf numFmtId="2" fontId="11" fillId="0" borderId="0" xfId="0" applyNumberFormat="1" applyFont="1" applyAlignment="1">
      <alignment horizontal="left" textRotation="90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0" fillId="4" borderId="0" xfId="0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textRotation="9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1" fillId="0" borderId="4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</cellXfs>
  <cellStyles count="2">
    <cellStyle name="Standard" xfId="0" builtinId="0"/>
    <cellStyle name="Währung" xfId="1" builtinId="4"/>
  </cellStyles>
  <dxfs count="5"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7" Type="http://schemas.openxmlformats.org/officeDocument/2006/relationships/image" Target="../media/image23.gif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6" Type="http://schemas.openxmlformats.org/officeDocument/2006/relationships/image" Target="../media/image22.png"/><Relationship Id="rId5" Type="http://schemas.openxmlformats.org/officeDocument/2006/relationships/image" Target="../media/image21.PNG"/><Relationship Id="rId4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333375</xdr:colOff>
          <xdr:row>14</xdr:row>
          <xdr:rowOff>104775</xdr:rowOff>
        </xdr:from>
        <xdr:to>
          <xdr:col>8</xdr:col>
          <xdr:colOff>28575</xdr:colOff>
          <xdr:row>36</xdr:row>
          <xdr:rowOff>104775</xdr:rowOff>
        </xdr:to>
        <xdr:pic>
          <xdr:nvPicPr>
            <xdr:cNvPr id="2" name="Obrázek 12">
              <a:extLst>
                <a:ext uri="{FF2B5EF4-FFF2-40B4-BE49-F238E27FC236}">
                  <a16:creationId xmlns:a16="http://schemas.microsoft.com/office/drawing/2014/main" id="{F8B42576-C6BD-46AF-896B-8E3E8D7172B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otor" spid="_x0000_s10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4350" y="3486150"/>
              <a:ext cx="4219575" cy="4676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absolute">
    <xdr:from>
      <xdr:col>14</xdr:col>
      <xdr:colOff>778248</xdr:colOff>
      <xdr:row>10</xdr:row>
      <xdr:rowOff>123824</xdr:rowOff>
    </xdr:from>
    <xdr:to>
      <xdr:col>20</xdr:col>
      <xdr:colOff>288663</xdr:colOff>
      <xdr:row>36</xdr:row>
      <xdr:rowOff>110489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05886B23-409A-4403-92C9-9114ECA22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5923" y="2552699"/>
          <a:ext cx="4330065" cy="5615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578304</xdr:colOff>
      <xdr:row>39</xdr:row>
      <xdr:rowOff>88447</xdr:rowOff>
    </xdr:from>
    <xdr:to>
      <xdr:col>7</xdr:col>
      <xdr:colOff>453259</xdr:colOff>
      <xdr:row>45</xdr:row>
      <xdr:rowOff>107497</xdr:rowOff>
    </xdr:to>
    <xdr:pic>
      <xdr:nvPicPr>
        <xdr:cNvPr id="4" name="Obrázek 4">
          <a:extLst>
            <a:ext uri="{FF2B5EF4-FFF2-40B4-BE49-F238E27FC236}">
              <a16:creationId xmlns:a16="http://schemas.microsoft.com/office/drawing/2014/main" id="{DBD26F62-7A20-4F18-A73F-784E7BB42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79" y="8784772"/>
          <a:ext cx="378973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876300</xdr:colOff>
      <xdr:row>45</xdr:row>
      <xdr:rowOff>171450</xdr:rowOff>
    </xdr:from>
    <xdr:to>
      <xdr:col>16</xdr:col>
      <xdr:colOff>533400</xdr:colOff>
      <xdr:row>47</xdr:row>
      <xdr:rowOff>24765</xdr:rowOff>
    </xdr:to>
    <xdr:pic>
      <xdr:nvPicPr>
        <xdr:cNvPr id="5" name="Picture 249">
          <a:extLst>
            <a:ext uri="{FF2B5EF4-FFF2-40B4-BE49-F238E27FC236}">
              <a16:creationId xmlns:a16="http://schemas.microsoft.com/office/drawing/2014/main" id="{67D9012F-2714-4D0A-BE52-19794A35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10067925"/>
          <a:ext cx="714375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828675</xdr:colOff>
      <xdr:row>43</xdr:row>
      <xdr:rowOff>190500</xdr:rowOff>
    </xdr:from>
    <xdr:to>
      <xdr:col>16</xdr:col>
      <xdr:colOff>567690</xdr:colOff>
      <xdr:row>45</xdr:row>
      <xdr:rowOff>41910</xdr:rowOff>
    </xdr:to>
    <xdr:pic>
      <xdr:nvPicPr>
        <xdr:cNvPr id="6" name="Picture 250">
          <a:extLst>
            <a:ext uri="{FF2B5EF4-FFF2-40B4-BE49-F238E27FC236}">
              <a16:creationId xmlns:a16="http://schemas.microsoft.com/office/drawing/2014/main" id="{C6298F6A-4374-4520-B25E-CB72736E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9686925"/>
          <a:ext cx="79629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729616</xdr:colOff>
      <xdr:row>47</xdr:row>
      <xdr:rowOff>24765</xdr:rowOff>
    </xdr:to>
    <xdr:pic>
      <xdr:nvPicPr>
        <xdr:cNvPr id="7" name="Picture 251">
          <a:extLst>
            <a:ext uri="{FF2B5EF4-FFF2-40B4-BE49-F238E27FC236}">
              <a16:creationId xmlns:a16="http://schemas.microsoft.com/office/drawing/2014/main" id="{99AA7862-4046-4D85-92AE-75F18635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10096500"/>
          <a:ext cx="729616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876300</xdr:colOff>
      <xdr:row>62</xdr:row>
      <xdr:rowOff>190500</xdr:rowOff>
    </xdr:from>
    <xdr:to>
      <xdr:col>19</xdr:col>
      <xdr:colOff>390525</xdr:colOff>
      <xdr:row>67</xdr:row>
      <xdr:rowOff>175260</xdr:rowOff>
    </xdr:to>
    <xdr:pic>
      <xdr:nvPicPr>
        <xdr:cNvPr id="8" name="Obrázek 1">
          <a:extLst>
            <a:ext uri="{FF2B5EF4-FFF2-40B4-BE49-F238E27FC236}">
              <a16:creationId xmlns:a16="http://schemas.microsoft.com/office/drawing/2014/main" id="{0CACD2EE-9103-4277-812A-80C7E46F4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6667" r="6667" b="7500"/>
        <a:stretch>
          <a:fillRect/>
        </a:stretch>
      </xdr:blipFill>
      <xdr:spPr bwMode="auto">
        <a:xfrm>
          <a:off x="11791950" y="13477875"/>
          <a:ext cx="1028700" cy="98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485775</xdr:colOff>
      <xdr:row>37</xdr:row>
      <xdr:rowOff>142875</xdr:rowOff>
    </xdr:from>
    <xdr:to>
      <xdr:col>12</xdr:col>
      <xdr:colOff>47625</xdr:colOff>
      <xdr:row>47</xdr:row>
      <xdr:rowOff>85725</xdr:rowOff>
    </xdr:to>
    <xdr:grpSp>
      <xdr:nvGrpSpPr>
        <xdr:cNvPr id="9" name="Skupina 9">
          <a:extLst>
            <a:ext uri="{FF2B5EF4-FFF2-40B4-BE49-F238E27FC236}">
              <a16:creationId xmlns:a16="http://schemas.microsoft.com/office/drawing/2014/main" id="{CEA56FA6-E045-482D-B3A0-9FA236561C81}"/>
            </a:ext>
          </a:extLst>
        </xdr:cNvPr>
        <xdr:cNvGrpSpPr>
          <a:grpSpLocks/>
        </xdr:cNvGrpSpPr>
      </xdr:nvGrpSpPr>
      <xdr:grpSpPr bwMode="auto">
        <a:xfrm>
          <a:off x="5909422" y="8401610"/>
          <a:ext cx="1332379" cy="1993527"/>
          <a:chOff x="5595714" y="8462506"/>
          <a:chExt cx="2207432" cy="2483472"/>
        </a:xfrm>
      </xdr:grpSpPr>
      <xdr:pic>
        <xdr:nvPicPr>
          <xdr:cNvPr id="10" name="Obrázek 5">
            <a:extLst>
              <a:ext uri="{FF2B5EF4-FFF2-40B4-BE49-F238E27FC236}">
                <a16:creationId xmlns:a16="http://schemas.microsoft.com/office/drawing/2014/main" id="{1B2C6E9E-ECCE-AE4B-9384-8F4268DB12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TextovéPole 10">
            <a:extLst>
              <a:ext uri="{FF2B5EF4-FFF2-40B4-BE49-F238E27FC236}">
                <a16:creationId xmlns:a16="http://schemas.microsoft.com/office/drawing/2014/main" id="{F483441C-28C2-F677-C7FF-7E11A6CF8D43}"/>
              </a:ext>
            </a:extLst>
          </xdr:cNvPr>
          <xdr:cNvSpPr txBox="1"/>
        </xdr:nvSpPr>
        <xdr:spPr>
          <a:xfrm>
            <a:off x="6932052" y="8462506"/>
            <a:ext cx="871094" cy="7678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2" name="Obrázek 8">
            <a:extLst>
              <a:ext uri="{FF2B5EF4-FFF2-40B4-BE49-F238E27FC236}">
                <a16:creationId xmlns:a16="http://schemas.microsoft.com/office/drawing/2014/main" id="{C5CF3262-BDD8-7311-4777-7935632DB2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119062</xdr:colOff>
      <xdr:row>14</xdr:row>
      <xdr:rowOff>153195</xdr:rowOff>
    </xdr:from>
    <xdr:to>
      <xdr:col>19</xdr:col>
      <xdr:colOff>410503</xdr:colOff>
      <xdr:row>14</xdr:row>
      <xdr:rowOff>153195</xdr:rowOff>
    </xdr:to>
    <xdr:cxnSp macro="">
      <xdr:nvCxnSpPr>
        <xdr:cNvPr id="13" name="Přímá spojovací čára 140">
          <a:extLst>
            <a:ext uri="{FF2B5EF4-FFF2-40B4-BE49-F238E27FC236}">
              <a16:creationId xmlns:a16="http://schemas.microsoft.com/office/drawing/2014/main" id="{8D8F62A6-0AC2-4BC1-821B-04FE8DB2BB31}"/>
            </a:ext>
          </a:extLst>
        </xdr:cNvPr>
        <xdr:cNvCxnSpPr/>
      </xdr:nvCxnSpPr>
      <xdr:spPr>
        <a:xfrm>
          <a:off x="11939587" y="3534570"/>
          <a:ext cx="90104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20</xdr:col>
      <xdr:colOff>819150</xdr:colOff>
      <xdr:row>4</xdr:row>
      <xdr:rowOff>57150</xdr:rowOff>
    </xdr:from>
    <xdr:to>
      <xdr:col>25</xdr:col>
      <xdr:colOff>561975</xdr:colOff>
      <xdr:row>18</xdr:row>
      <xdr:rowOff>304800</xdr:rowOff>
    </xdr:to>
    <xdr:grpSp>
      <xdr:nvGrpSpPr>
        <xdr:cNvPr id="14" name="Skupina 4">
          <a:extLst>
            <a:ext uri="{FF2B5EF4-FFF2-40B4-BE49-F238E27FC236}">
              <a16:creationId xmlns:a16="http://schemas.microsoft.com/office/drawing/2014/main" id="{ED8FB79C-1F3D-41F2-ACF8-0B5CFB3FBE4E}"/>
            </a:ext>
          </a:extLst>
        </xdr:cNvPr>
        <xdr:cNvGrpSpPr>
          <a:grpSpLocks/>
        </xdr:cNvGrpSpPr>
      </xdr:nvGrpSpPr>
      <xdr:grpSpPr bwMode="auto">
        <a:xfrm>
          <a:off x="13661091" y="953621"/>
          <a:ext cx="3351119" cy="3474944"/>
          <a:chOff x="15554324" y="981075"/>
          <a:chExt cx="3476625" cy="3508116"/>
        </a:xfrm>
      </xdr:grpSpPr>
      <xdr:pic>
        <xdr:nvPicPr>
          <xdr:cNvPr id="15" name="Obrázek 3">
            <a:extLst>
              <a:ext uri="{FF2B5EF4-FFF2-40B4-BE49-F238E27FC236}">
                <a16:creationId xmlns:a16="http://schemas.microsoft.com/office/drawing/2014/main" id="{121740D1-07E6-DF3C-C8D4-EF069AD723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554324" y="981075"/>
            <a:ext cx="3476625" cy="35081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6" name="Skupina 10">
            <a:extLst>
              <a:ext uri="{FF2B5EF4-FFF2-40B4-BE49-F238E27FC236}">
                <a16:creationId xmlns:a16="http://schemas.microsoft.com/office/drawing/2014/main" id="{77449584-46DC-964E-F812-5F9AA57C5B63}"/>
              </a:ext>
            </a:extLst>
          </xdr:cNvPr>
          <xdr:cNvGrpSpPr>
            <a:grpSpLocks/>
          </xdr:cNvGrpSpPr>
        </xdr:nvGrpSpPr>
        <xdr:grpSpPr bwMode="auto">
          <a:xfrm>
            <a:off x="16788273" y="3540276"/>
            <a:ext cx="917104" cy="699706"/>
            <a:chOff x="15880587" y="3833824"/>
            <a:chExt cx="861760" cy="797526"/>
          </a:xfrm>
        </xdr:grpSpPr>
        <xdr:sp macro="" textlink="">
          <xdr:nvSpPr>
            <xdr:cNvPr id="17" name="Ovál 16">
              <a:extLst>
                <a:ext uri="{FF2B5EF4-FFF2-40B4-BE49-F238E27FC236}">
                  <a16:creationId xmlns:a16="http://schemas.microsoft.com/office/drawing/2014/main" id="{C554BB05-8EE4-F0C8-87B5-65B506930F3C}"/>
                </a:ext>
              </a:extLst>
            </xdr:cNvPr>
            <xdr:cNvSpPr/>
          </xdr:nvSpPr>
          <xdr:spPr>
            <a:xfrm>
              <a:off x="15883870" y="4000198"/>
              <a:ext cx="645982" cy="631924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18" name="TextovéPole 17">
              <a:extLst>
                <a:ext uri="{FF2B5EF4-FFF2-40B4-BE49-F238E27FC236}">
                  <a16:creationId xmlns:a16="http://schemas.microsoft.com/office/drawing/2014/main" id="{C7C2304E-976F-9877-5D12-63FE41FB2A38}"/>
                </a:ext>
              </a:extLst>
            </xdr:cNvPr>
            <xdr:cNvSpPr txBox="1"/>
          </xdr:nvSpPr>
          <xdr:spPr>
            <a:xfrm>
              <a:off x="16557538" y="3836769"/>
              <a:ext cx="184566" cy="283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 editAs="oneCell">
    <xdr:from>
      <xdr:col>21</xdr:col>
      <xdr:colOff>457200</xdr:colOff>
      <xdr:row>18</xdr:row>
      <xdr:rowOff>257175</xdr:rowOff>
    </xdr:from>
    <xdr:to>
      <xdr:col>23</xdr:col>
      <xdr:colOff>451485</xdr:colOff>
      <xdr:row>36</xdr:row>
      <xdr:rowOff>110490</xdr:rowOff>
    </xdr:to>
    <xdr:pic>
      <xdr:nvPicPr>
        <xdr:cNvPr id="19" name="Picture 2045">
          <a:extLst>
            <a:ext uri="{FF2B5EF4-FFF2-40B4-BE49-F238E27FC236}">
              <a16:creationId xmlns:a16="http://schemas.microsoft.com/office/drawing/2014/main" id="{88ADEEDB-0494-414A-989E-BE522118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5125" y="4400550"/>
          <a:ext cx="1413510" cy="3768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367935</xdr:colOff>
      <xdr:row>36</xdr:row>
      <xdr:rowOff>61975</xdr:rowOff>
    </xdr:from>
    <xdr:ext cx="1066800" cy="280205"/>
    <xdr:sp macro="" textlink="$F$56">
      <xdr:nvSpPr>
        <xdr:cNvPr id="20" name="TextovéPole 19">
          <a:extLst>
            <a:ext uri="{FF2B5EF4-FFF2-40B4-BE49-F238E27FC236}">
              <a16:creationId xmlns:a16="http://schemas.microsoft.com/office/drawing/2014/main" id="{69C6680C-C5A5-4CE6-AF5C-8319645F182B}"/>
            </a:ext>
          </a:extLst>
        </xdr:cNvPr>
        <xdr:cNvSpPr txBox="1"/>
      </xdr:nvSpPr>
      <xdr:spPr>
        <a:xfrm>
          <a:off x="2158635" y="8120125"/>
          <a:ext cx="106680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32140CFE-E021-4672-B2C3-18E9B745034E}" type="TxLink">
            <a:rPr lang="en-US" sz="1200" b="1" i="0" u="none" strike="noStrike">
              <a:solidFill>
                <a:schemeClr val="tx1"/>
              </a:solidFill>
              <a:latin typeface="Calibri"/>
              <a:cs typeface="Calibri"/>
            </a:rPr>
            <a:pPr algn="ctr"/>
            <a:t>W </a:t>
          </a:fld>
          <a:endParaRPr lang="cs-CZ" sz="12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286406</xdr:colOff>
      <xdr:row>23</xdr:row>
      <xdr:rowOff>186641</xdr:rowOff>
    </xdr:from>
    <xdr:ext cx="280205" cy="1047750"/>
    <xdr:sp macro="" textlink="$F$57">
      <xdr:nvSpPr>
        <xdr:cNvPr id="21" name="TextovéPole 20">
          <a:extLst>
            <a:ext uri="{FF2B5EF4-FFF2-40B4-BE49-F238E27FC236}">
              <a16:creationId xmlns:a16="http://schemas.microsoft.com/office/drawing/2014/main" id="{034F8AA7-7D89-4AEC-A79E-01EE3515D203}"/>
            </a:ext>
          </a:extLst>
        </xdr:cNvPr>
        <xdr:cNvSpPr txBox="1"/>
      </xdr:nvSpPr>
      <xdr:spPr>
        <a:xfrm rot="16200000">
          <a:off x="83609" y="5875838"/>
          <a:ext cx="104775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BF5D123E-41B3-41A8-A2AC-76B5836BA236}" type="TxLink">
            <a:rPr lang="en-US" sz="1200" b="1" i="0" u="none" strike="noStrike">
              <a:solidFill>
                <a:schemeClr val="tx1"/>
              </a:solidFill>
              <a:latin typeface="Calibri"/>
              <a:ea typeface="+mn-ea"/>
              <a:cs typeface="Calibri"/>
            </a:rPr>
            <a:pPr marL="0" indent="0"/>
            <a:t>H </a:t>
          </a:fld>
          <a:endParaRPr lang="cs-CZ" sz="1200" b="1" i="0" u="none" strike="noStrike">
            <a:solidFill>
              <a:schemeClr val="tx1"/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1</xdr:col>
      <xdr:colOff>307099</xdr:colOff>
      <xdr:row>17</xdr:row>
      <xdr:rowOff>104044</xdr:rowOff>
    </xdr:from>
    <xdr:ext cx="280205" cy="885825"/>
    <xdr:sp macro="" textlink="$F$59">
      <xdr:nvSpPr>
        <xdr:cNvPr id="22" name="TextovéPole 21">
          <a:extLst>
            <a:ext uri="{FF2B5EF4-FFF2-40B4-BE49-F238E27FC236}">
              <a16:creationId xmlns:a16="http://schemas.microsoft.com/office/drawing/2014/main" id="{9472751D-C634-448B-82FB-4EEC218A67C2}"/>
            </a:ext>
          </a:extLst>
        </xdr:cNvPr>
        <xdr:cNvSpPr txBox="1"/>
      </xdr:nvSpPr>
      <xdr:spPr>
        <a:xfrm rot="16200000">
          <a:off x="185264" y="4359729"/>
          <a:ext cx="8858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fld id="{3380C0C5-7F5B-4114-BD3B-A149FC56425A}" type="TxLink">
            <a:rPr lang="en-US" sz="1200" b="1" i="0" u="none" strike="noStrike">
              <a:solidFill>
                <a:schemeClr val="tx1"/>
              </a:solidFill>
              <a:latin typeface="Calibri"/>
              <a:ea typeface="+mn-ea"/>
              <a:cs typeface="Calibri"/>
            </a:rPr>
            <a:pPr marL="0" indent="0" algn="ctr"/>
            <a:t>F </a:t>
          </a:fld>
          <a:endParaRPr lang="cs-CZ" sz="1200" b="1" i="0" u="none" strike="noStrike">
            <a:solidFill>
              <a:schemeClr val="tx1"/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1</xdr:col>
      <xdr:colOff>496529</xdr:colOff>
      <xdr:row>17</xdr:row>
      <xdr:rowOff>166238</xdr:rowOff>
    </xdr:from>
    <xdr:ext cx="280205" cy="762000"/>
    <xdr:sp macro="" textlink="$F$60">
      <xdr:nvSpPr>
        <xdr:cNvPr id="23" name="TextovéPole 22">
          <a:extLst>
            <a:ext uri="{FF2B5EF4-FFF2-40B4-BE49-F238E27FC236}">
              <a16:creationId xmlns:a16="http://schemas.microsoft.com/office/drawing/2014/main" id="{7E9A12D3-E100-4F6D-AE30-38C71AABFBFF}"/>
            </a:ext>
          </a:extLst>
        </xdr:cNvPr>
        <xdr:cNvSpPr txBox="1"/>
      </xdr:nvSpPr>
      <xdr:spPr>
        <a:xfrm rot="16200000">
          <a:off x="436607" y="4360010"/>
          <a:ext cx="76200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BFEC817B-CA05-46AD-9D57-9699DBE1780E}" type="TxLink">
            <a:rPr lang="en-US" sz="1200" b="1" i="0" u="none" strike="noStrike">
              <a:solidFill>
                <a:schemeClr val="tx1"/>
              </a:solidFill>
              <a:latin typeface="Calibri"/>
              <a:cs typeface="Calibri"/>
            </a:rPr>
            <a:pPr algn="ctr"/>
            <a:t>A</a:t>
          </a:fld>
          <a:endParaRPr lang="cs-CZ" sz="12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437066</xdr:colOff>
      <xdr:row>35</xdr:row>
      <xdr:rowOff>11932</xdr:rowOff>
    </xdr:from>
    <xdr:ext cx="723900" cy="280205"/>
    <xdr:sp macro="" textlink="$F$61">
      <xdr:nvSpPr>
        <xdr:cNvPr id="24" name="TextovéPole 23">
          <a:extLst>
            <a:ext uri="{FF2B5EF4-FFF2-40B4-BE49-F238E27FC236}">
              <a16:creationId xmlns:a16="http://schemas.microsoft.com/office/drawing/2014/main" id="{6CD25462-A9B1-4039-BA60-A04E6875310C}"/>
            </a:ext>
          </a:extLst>
        </xdr:cNvPr>
        <xdr:cNvSpPr txBox="1"/>
      </xdr:nvSpPr>
      <xdr:spPr>
        <a:xfrm>
          <a:off x="618041" y="7879582"/>
          <a:ext cx="72390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0C456A8D-A986-4DAD-8A65-702658622937}" type="TxLink">
            <a:rPr lang="en-US" sz="1200" b="1" i="0" u="none" strike="noStrike">
              <a:solidFill>
                <a:schemeClr val="tx1"/>
              </a:solidFill>
              <a:latin typeface="Calibri"/>
              <a:cs typeface="Calibri"/>
            </a:rPr>
            <a:pPr/>
            <a:t>L</a:t>
          </a:fld>
          <a:endParaRPr lang="cs-CZ" sz="1200" b="1">
            <a:solidFill>
              <a:schemeClr val="tx1"/>
            </a:solidFill>
          </a:endParaRPr>
        </a:p>
      </xdr:txBody>
    </xdr:sp>
    <xdr:clientData/>
  </xdr:oneCellAnchor>
  <xdr:oneCellAnchor>
    <xdr:from>
      <xdr:col>7</xdr:col>
      <xdr:colOff>76960</xdr:colOff>
      <xdr:row>34</xdr:row>
      <xdr:rowOff>185217</xdr:rowOff>
    </xdr:from>
    <xdr:ext cx="800100" cy="280205"/>
    <xdr:sp macro="" textlink="$F$62">
      <xdr:nvSpPr>
        <xdr:cNvPr id="25" name="TextovéPole 24">
          <a:extLst>
            <a:ext uri="{FF2B5EF4-FFF2-40B4-BE49-F238E27FC236}">
              <a16:creationId xmlns:a16="http://schemas.microsoft.com/office/drawing/2014/main" id="{4A8785F4-62E3-4355-B26D-D57AF068FFFF}"/>
            </a:ext>
          </a:extLst>
        </xdr:cNvPr>
        <xdr:cNvSpPr txBox="1"/>
      </xdr:nvSpPr>
      <xdr:spPr>
        <a:xfrm>
          <a:off x="4172710" y="7862367"/>
          <a:ext cx="80010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4E235030-54E0-4A01-B951-0F5460E54B49}" type="TxLink">
            <a:rPr lang="en-US" sz="1200" b="1" i="0" u="none" strike="noStrike">
              <a:solidFill>
                <a:schemeClr val="tx1"/>
              </a:solidFill>
              <a:latin typeface="Calibri"/>
              <a:cs typeface="Calibri"/>
            </a:rPr>
            <a:pPr/>
            <a:t>R</a:t>
          </a:fld>
          <a:endParaRPr lang="cs-CZ" sz="1200" b="1">
            <a:solidFill>
              <a:schemeClr val="tx1"/>
            </a:solidFill>
          </a:endParaRPr>
        </a:p>
      </xdr:txBody>
    </xdr:sp>
    <xdr:clientData/>
  </xdr:oneCellAnchor>
  <xdr:oneCellAnchor>
    <xdr:from>
      <xdr:col>5</xdr:col>
      <xdr:colOff>528048</xdr:colOff>
      <xdr:row>33</xdr:row>
      <xdr:rowOff>175298</xdr:rowOff>
    </xdr:from>
    <xdr:ext cx="447675" cy="280205"/>
    <xdr:sp macro="" textlink="I34">
      <xdr:nvSpPr>
        <xdr:cNvPr id="26" name="TextovéPole 25">
          <a:extLst>
            <a:ext uri="{FF2B5EF4-FFF2-40B4-BE49-F238E27FC236}">
              <a16:creationId xmlns:a16="http://schemas.microsoft.com/office/drawing/2014/main" id="{15A1CF37-0643-4F68-9BB5-171527AA8D94}"/>
            </a:ext>
          </a:extLst>
        </xdr:cNvPr>
        <xdr:cNvSpPr txBox="1"/>
      </xdr:nvSpPr>
      <xdr:spPr>
        <a:xfrm>
          <a:off x="3404598" y="7661948"/>
          <a:ext cx="4476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E8864D5B-2025-43F0-95F2-B03BACA7F828}" type="TxLink">
            <a:rPr lang="en-US" sz="1200" b="1" i="0" u="none" strike="noStrike">
              <a:solidFill>
                <a:schemeClr val="tx1"/>
              </a:solidFill>
              <a:latin typeface="Calibri"/>
              <a:ea typeface="+mn-ea"/>
              <a:cs typeface="Calibri"/>
            </a:rPr>
            <a:pPr marL="0" indent="0"/>
            <a:t> </a:t>
          </a:fld>
          <a:endParaRPr lang="cs-CZ" sz="1200" b="1" i="0" u="none" strike="noStrike">
            <a:solidFill>
              <a:schemeClr val="tx1"/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2</xdr:col>
      <xdr:colOff>647303</xdr:colOff>
      <xdr:row>33</xdr:row>
      <xdr:rowOff>165564</xdr:rowOff>
    </xdr:from>
    <xdr:ext cx="447675" cy="264560"/>
    <xdr:sp macro="" textlink="I34">
      <xdr:nvSpPr>
        <xdr:cNvPr id="27" name="TextovéPole 26">
          <a:extLst>
            <a:ext uri="{FF2B5EF4-FFF2-40B4-BE49-F238E27FC236}">
              <a16:creationId xmlns:a16="http://schemas.microsoft.com/office/drawing/2014/main" id="{FEEBDEA6-28F2-4F2C-830A-747FA951BB2E}"/>
            </a:ext>
          </a:extLst>
        </xdr:cNvPr>
        <xdr:cNvSpPr txBox="1"/>
      </xdr:nvSpPr>
      <xdr:spPr>
        <a:xfrm>
          <a:off x="1437878" y="7652214"/>
          <a:ext cx="447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E8864D5B-2025-43F0-95F2-B03BACA7F828}" type="TxLink">
            <a:rPr lang="en-US" sz="1100" b="1" i="0" u="none" strike="noStrike">
              <a:solidFill>
                <a:schemeClr val="tx1"/>
              </a:solidFill>
              <a:latin typeface="Arial"/>
              <a:cs typeface="Arial"/>
            </a:rPr>
            <a:pPr/>
            <a:t> </a:t>
          </a:fld>
          <a:endParaRPr lang="cs-CZ" sz="1100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406250</xdr:colOff>
      <xdr:row>15</xdr:row>
      <xdr:rowOff>24666</xdr:rowOff>
    </xdr:from>
    <xdr:ext cx="457200" cy="264560"/>
    <xdr:sp macro="" textlink="$I$35">
      <xdr:nvSpPr>
        <xdr:cNvPr id="28" name="TextovéPole 27">
          <a:extLst>
            <a:ext uri="{FF2B5EF4-FFF2-40B4-BE49-F238E27FC236}">
              <a16:creationId xmlns:a16="http://schemas.microsoft.com/office/drawing/2014/main" id="{9F4AA804-735F-443F-A39A-3404A780B0A5}"/>
            </a:ext>
          </a:extLst>
        </xdr:cNvPr>
        <xdr:cNvSpPr txBox="1"/>
      </xdr:nvSpPr>
      <xdr:spPr>
        <a:xfrm>
          <a:off x="1196825" y="3596541"/>
          <a:ext cx="457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E445B919-6C74-45AC-A5DF-18282526B926}" type="TxLink">
            <a:rPr lang="en-US" sz="1100" b="1" i="0" u="none" strike="noStrike">
              <a:solidFill>
                <a:schemeClr val="tx1"/>
              </a:solidFill>
              <a:latin typeface="Arial"/>
              <a:cs typeface="Arial"/>
            </a:rPr>
            <a:pPr/>
            <a:t> </a:t>
          </a:fld>
          <a:endParaRPr lang="cs-CZ" sz="1200">
            <a:solidFill>
              <a:schemeClr val="tx1"/>
            </a:solidFill>
          </a:endParaRPr>
        </a:p>
      </xdr:txBody>
    </xdr:sp>
    <xdr:clientData/>
  </xdr:oneCellAnchor>
  <xdr:oneCellAnchor>
    <xdr:from>
      <xdr:col>6</xdr:col>
      <xdr:colOff>231105</xdr:colOff>
      <xdr:row>14</xdr:row>
      <xdr:rowOff>152400</xdr:rowOff>
    </xdr:from>
    <xdr:ext cx="428625" cy="386958"/>
    <xdr:sp macro="" textlink="$I$36">
      <xdr:nvSpPr>
        <xdr:cNvPr id="29" name="TextovéPole 28">
          <a:extLst>
            <a:ext uri="{FF2B5EF4-FFF2-40B4-BE49-F238E27FC236}">
              <a16:creationId xmlns:a16="http://schemas.microsoft.com/office/drawing/2014/main" id="{6C246CDF-93DF-43A7-AF79-70E852A61A25}"/>
            </a:ext>
          </a:extLst>
        </xdr:cNvPr>
        <xdr:cNvSpPr txBox="1"/>
      </xdr:nvSpPr>
      <xdr:spPr>
        <a:xfrm>
          <a:off x="3717255" y="3533775"/>
          <a:ext cx="428625" cy="386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7566602E-EEAD-4D94-A320-7E210CE04420}" type="TxLink">
            <a:rPr lang="en-US" sz="1100" b="1" i="0" u="none" strike="noStrike">
              <a:solidFill>
                <a:schemeClr val="tx1"/>
              </a:solidFill>
              <a:latin typeface="Arial"/>
              <a:cs typeface="Arial"/>
            </a:rPr>
            <a:pPr/>
            <a:t> </a:t>
          </a:fld>
          <a:endParaRPr lang="cs-CZ" sz="1200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140677</xdr:colOff>
      <xdr:row>43</xdr:row>
      <xdr:rowOff>131885</xdr:rowOff>
    </xdr:from>
    <xdr:ext cx="1295400" cy="219391"/>
    <xdr:sp macro="" textlink="Obrázky!Z13">
      <xdr:nvSpPr>
        <xdr:cNvPr id="30" name="TextovéPole 29">
          <a:extLst>
            <a:ext uri="{FF2B5EF4-FFF2-40B4-BE49-F238E27FC236}">
              <a16:creationId xmlns:a16="http://schemas.microsoft.com/office/drawing/2014/main" id="{44C39BE7-6208-4CEE-A478-DF7BD6F2BE50}"/>
            </a:ext>
          </a:extLst>
        </xdr:cNvPr>
        <xdr:cNvSpPr txBox="1"/>
      </xdr:nvSpPr>
      <xdr:spPr>
        <a:xfrm>
          <a:off x="1931377" y="9628310"/>
          <a:ext cx="1295400" cy="2193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6BDE70C4-65D1-45EC-8FCA-ADED4EB09888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L+W+R </a:t>
          </a:fld>
          <a:endParaRPr lang="cs-CZ" sz="1200" b="1"/>
        </a:p>
      </xdr:txBody>
    </xdr:sp>
    <xdr:clientData/>
  </xdr:oneCellAnchor>
  <xdr:twoCellAnchor>
    <xdr:from>
      <xdr:col>19</xdr:col>
      <xdr:colOff>352425</xdr:colOff>
      <xdr:row>18</xdr:row>
      <xdr:rowOff>57150</xdr:rowOff>
    </xdr:from>
    <xdr:to>
      <xdr:col>20</xdr:col>
      <xdr:colOff>200025</xdr:colOff>
      <xdr:row>22</xdr:row>
      <xdr:rowOff>28575</xdr:rowOff>
    </xdr:to>
    <xdr:sp macro="" textlink="$F$59">
      <xdr:nvSpPr>
        <xdr:cNvPr id="31" name="TextovéPole 30">
          <a:extLst>
            <a:ext uri="{FF2B5EF4-FFF2-40B4-BE49-F238E27FC236}">
              <a16:creationId xmlns:a16="http://schemas.microsoft.com/office/drawing/2014/main" id="{7D49333A-8613-4329-B0F5-8363AF0DBF3B}"/>
            </a:ext>
          </a:extLst>
        </xdr:cNvPr>
        <xdr:cNvSpPr txBox="1"/>
      </xdr:nvSpPr>
      <xdr:spPr>
        <a:xfrm>
          <a:off x="12782550" y="4200525"/>
          <a:ext cx="304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fld id="{774A66F8-15E8-437C-8D08-52CB7C320E0B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F </a:t>
          </a:fld>
          <a:endParaRPr lang="cs-CZ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28575</xdr:colOff>
      <xdr:row>18</xdr:row>
      <xdr:rowOff>76200</xdr:rowOff>
    </xdr:from>
    <xdr:to>
      <xdr:col>19</xdr:col>
      <xdr:colOff>333375</xdr:colOff>
      <xdr:row>22</xdr:row>
      <xdr:rowOff>47625</xdr:rowOff>
    </xdr:to>
    <xdr:sp macro="" textlink="$F$60">
      <xdr:nvSpPr>
        <xdr:cNvPr id="32" name="TextovéPole 31">
          <a:extLst>
            <a:ext uri="{FF2B5EF4-FFF2-40B4-BE49-F238E27FC236}">
              <a16:creationId xmlns:a16="http://schemas.microsoft.com/office/drawing/2014/main" id="{40B3217D-2C9D-4303-BF33-2D7582347C80}"/>
            </a:ext>
          </a:extLst>
        </xdr:cNvPr>
        <xdr:cNvSpPr txBox="1"/>
      </xdr:nvSpPr>
      <xdr:spPr>
        <a:xfrm>
          <a:off x="12458700" y="4219575"/>
          <a:ext cx="304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fld id="{862E3FED-9F28-42FB-BB7B-28B6EA944A5E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A</a:t>
          </a:fld>
          <a:endParaRPr lang="cs-CZ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18</xdr:col>
      <xdr:colOff>363020</xdr:colOff>
      <xdr:row>17</xdr:row>
      <xdr:rowOff>151330</xdr:rowOff>
    </xdr:from>
    <xdr:ext cx="264560" cy="1143000"/>
    <xdr:sp macro="" textlink="Obrázky!Z14">
      <xdr:nvSpPr>
        <xdr:cNvPr id="33" name="TextovéPole 32">
          <a:extLst>
            <a:ext uri="{FF2B5EF4-FFF2-40B4-BE49-F238E27FC236}">
              <a16:creationId xmlns:a16="http://schemas.microsoft.com/office/drawing/2014/main" id="{F829EC0B-595F-4FFF-9F24-3555C45E74F1}"/>
            </a:ext>
          </a:extLst>
        </xdr:cNvPr>
        <xdr:cNvSpPr txBox="1"/>
      </xdr:nvSpPr>
      <xdr:spPr>
        <a:xfrm rot="16200000">
          <a:off x="11744325" y="4543425"/>
          <a:ext cx="1143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0ECC625A-75C6-45EC-BB67-7BE3A62A5DA9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HL </a:t>
          </a:fld>
          <a:endParaRPr lang="cs-CZ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66675</xdr:colOff>
      <xdr:row>38</xdr:row>
      <xdr:rowOff>57150</xdr:rowOff>
    </xdr:from>
    <xdr:ext cx="1885950" cy="304800"/>
    <xdr:sp macro="" textlink="AG126">
      <xdr:nvSpPr>
        <xdr:cNvPr id="34" name="TextovéPole 33">
          <a:extLst>
            <a:ext uri="{FF2B5EF4-FFF2-40B4-BE49-F238E27FC236}">
              <a16:creationId xmlns:a16="http://schemas.microsoft.com/office/drawing/2014/main" id="{C423B2A4-81A2-4EFC-932F-4C92F3C65E6D}"/>
            </a:ext>
          </a:extLst>
        </xdr:cNvPr>
        <xdr:cNvSpPr txBox="1"/>
      </xdr:nvSpPr>
      <xdr:spPr>
        <a:xfrm>
          <a:off x="13944600" y="8515350"/>
          <a:ext cx="188595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68AAEC54-4021-4C06-B666-919ADE5A7E0A}" type="TxLink">
            <a:rPr lang="en-US" sz="1400" b="0" i="0" u="none" strike="noStrike">
              <a:solidFill>
                <a:srgbClr val="000000"/>
              </a:solidFill>
              <a:latin typeface="+mn-lt"/>
              <a:cs typeface="Arial" panose="020B0604020202020204" pitchFamily="34" charset="0"/>
            </a:rPr>
            <a:pPr algn="r"/>
            <a:t>Angebot/Bestellung:</a:t>
          </a:fld>
          <a:endParaRPr lang="cs-CZ" sz="1400" b="0"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22</xdr:col>
      <xdr:colOff>381000</xdr:colOff>
      <xdr:row>41</xdr:row>
      <xdr:rowOff>38100</xdr:rowOff>
    </xdr:from>
    <xdr:ext cx="942975" cy="304800"/>
    <xdr:sp macro="" textlink="AG127">
      <xdr:nvSpPr>
        <xdr:cNvPr id="35" name="TextovéPole 34">
          <a:extLst>
            <a:ext uri="{FF2B5EF4-FFF2-40B4-BE49-F238E27FC236}">
              <a16:creationId xmlns:a16="http://schemas.microsoft.com/office/drawing/2014/main" id="{76711DCF-FB92-4109-B454-F632BDC2AABB}"/>
            </a:ext>
          </a:extLst>
        </xdr:cNvPr>
        <xdr:cNvSpPr txBox="1"/>
      </xdr:nvSpPr>
      <xdr:spPr>
        <a:xfrm>
          <a:off x="14868525" y="9134475"/>
          <a:ext cx="942975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378D5B2B-BC11-4D1F-9DE9-9D2EE0E45DA6}" type="TxLink">
            <a:rPr lang="en-US" sz="1400" b="0" i="0" u="none" strike="noStrike">
              <a:solidFill>
                <a:srgbClr val="000000"/>
              </a:solidFill>
              <a:latin typeface="+mn-lt"/>
              <a:cs typeface="Arial" panose="020B0604020202020204" pitchFamily="34" charset="0"/>
            </a:rPr>
            <a:pPr algn="r"/>
            <a:t>Position:</a:t>
          </a:fld>
          <a:endParaRPr lang="cs-CZ" sz="1400" b="0"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19</xdr:col>
      <xdr:colOff>408831</xdr:colOff>
      <xdr:row>24</xdr:row>
      <xdr:rowOff>136072</xdr:rowOff>
    </xdr:from>
    <xdr:ext cx="269369" cy="1047750"/>
    <xdr:sp macro="" textlink="$F$57">
      <xdr:nvSpPr>
        <xdr:cNvPr id="36" name="TextovéPole 35">
          <a:extLst>
            <a:ext uri="{FF2B5EF4-FFF2-40B4-BE49-F238E27FC236}">
              <a16:creationId xmlns:a16="http://schemas.microsoft.com/office/drawing/2014/main" id="{496BE55A-B8E6-473E-9313-6216E3BAD5FC}"/>
            </a:ext>
          </a:extLst>
        </xdr:cNvPr>
        <xdr:cNvSpPr txBox="1"/>
      </xdr:nvSpPr>
      <xdr:spPr>
        <a:xfrm rot="16200000">
          <a:off x="12449766" y="6030712"/>
          <a:ext cx="10477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BF5D123E-41B3-41A8-A2AC-76B5836BA236}" type="TxLink">
            <a:rPr lang="en-US" sz="1200" b="1" i="0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H </a:t>
          </a:fld>
          <a:endParaRPr lang="cs-CZ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2</xdr:row>
      <xdr:rowOff>9525</xdr:rowOff>
    </xdr:from>
    <xdr:to>
      <xdr:col>8</xdr:col>
      <xdr:colOff>180975</xdr:colOff>
      <xdr:row>30</xdr:row>
      <xdr:rowOff>123825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435CB140-BF03-491A-89FF-7D6548E76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90525"/>
          <a:ext cx="4695825" cy="544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648CC88-13ED-42BA-8C49-999058759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322148</xdr:colOff>
      <xdr:row>15</xdr:row>
      <xdr:rowOff>9524</xdr:rowOff>
    </xdr:from>
    <xdr:ext cx="264560" cy="1047750"/>
    <xdr:sp macro="" textlink="general!$F$57">
      <xdr:nvSpPr>
        <xdr:cNvPr id="4" name="TextovéPole 3">
          <a:extLst>
            <a:ext uri="{FF2B5EF4-FFF2-40B4-BE49-F238E27FC236}">
              <a16:creationId xmlns:a16="http://schemas.microsoft.com/office/drawing/2014/main" id="{FBBEF8C3-F424-4195-9AB3-028542C1C8B3}"/>
            </a:ext>
          </a:extLst>
        </xdr:cNvPr>
        <xdr:cNvSpPr txBox="1"/>
      </xdr:nvSpPr>
      <xdr:spPr>
        <a:xfrm rot="16200000">
          <a:off x="-69447" y="3258619"/>
          <a:ext cx="1047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7737A99D-CB67-4F7E-BD02-3C76727B42C6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H </a:t>
          </a:fld>
          <a:endParaRPr lang="cs-CZ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274522</xdr:colOff>
      <xdr:row>5</xdr:row>
      <xdr:rowOff>171450</xdr:rowOff>
    </xdr:from>
    <xdr:ext cx="264560" cy="762000"/>
    <xdr:sp macro="" textlink="general!$F$60">
      <xdr:nvSpPr>
        <xdr:cNvPr id="5" name="TextovéPole 4">
          <a:extLst>
            <a:ext uri="{FF2B5EF4-FFF2-40B4-BE49-F238E27FC236}">
              <a16:creationId xmlns:a16="http://schemas.microsoft.com/office/drawing/2014/main" id="{7962205D-C28F-4D12-95CD-02974CF9B395}"/>
            </a:ext>
          </a:extLst>
        </xdr:cNvPr>
        <xdr:cNvSpPr txBox="1"/>
      </xdr:nvSpPr>
      <xdr:spPr>
        <a:xfrm rot="16200000">
          <a:off x="25802" y="137267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4623E392-6F42-48A2-8BB4-E19161F51834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A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561975</xdr:colOff>
      <xdr:row>28</xdr:row>
      <xdr:rowOff>57150</xdr:rowOff>
    </xdr:from>
    <xdr:ext cx="1066800" cy="264560"/>
    <xdr:sp macro="" textlink="general!$F$56">
      <xdr:nvSpPr>
        <xdr:cNvPr id="6" name="TextovéPole 5">
          <a:extLst>
            <a:ext uri="{FF2B5EF4-FFF2-40B4-BE49-F238E27FC236}">
              <a16:creationId xmlns:a16="http://schemas.microsoft.com/office/drawing/2014/main" id="{4D1DD2CE-54CD-436C-AC1A-2B6F78EC22C7}"/>
            </a:ext>
          </a:extLst>
        </xdr:cNvPr>
        <xdr:cNvSpPr txBox="1"/>
      </xdr:nvSpPr>
      <xdr:spPr>
        <a:xfrm>
          <a:off x="2390775" y="5391150"/>
          <a:ext cx="1066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07F9BF53-5C4E-42DE-B35E-D23F465F233A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W 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28575</xdr:colOff>
      <xdr:row>2</xdr:row>
      <xdr:rowOff>85725</xdr:rowOff>
    </xdr:from>
    <xdr:ext cx="457200" cy="264560"/>
    <xdr:sp macro="" textlink="general!$I$35">
      <xdr:nvSpPr>
        <xdr:cNvPr id="7" name="TextovéPole 6">
          <a:extLst>
            <a:ext uri="{FF2B5EF4-FFF2-40B4-BE49-F238E27FC236}">
              <a16:creationId xmlns:a16="http://schemas.microsoft.com/office/drawing/2014/main" id="{05D197D3-8600-4BEC-B1E8-3232CD6ACCA3}"/>
            </a:ext>
          </a:extLst>
        </xdr:cNvPr>
        <xdr:cNvSpPr txBox="1"/>
      </xdr:nvSpPr>
      <xdr:spPr>
        <a:xfrm>
          <a:off x="1247775" y="466725"/>
          <a:ext cx="457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C532A972-2AAC-451B-96C7-68AC7C97E45D}" type="TxLink">
            <a:rPr lang="en-US" sz="1100" b="1" i="0" u="none" strike="noStrike">
              <a:solidFill>
                <a:schemeClr val="tx1"/>
              </a:solidFill>
              <a:latin typeface="Arial"/>
              <a:cs typeface="Arial"/>
            </a:rPr>
            <a:pPr/>
            <a:t> </a:t>
          </a:fld>
          <a:endParaRPr lang="cs-CZ" sz="1200">
            <a:solidFill>
              <a:schemeClr val="tx1"/>
            </a:solidFill>
          </a:endParaRPr>
        </a:p>
      </xdr:txBody>
    </xdr:sp>
    <xdr:clientData/>
  </xdr:oneCellAnchor>
  <xdr:oneCellAnchor>
    <xdr:from>
      <xdr:col>0</xdr:col>
      <xdr:colOff>504825</xdr:colOff>
      <xdr:row>26</xdr:row>
      <xdr:rowOff>0</xdr:rowOff>
    </xdr:from>
    <xdr:ext cx="723900" cy="264560"/>
    <xdr:sp macro="" textlink="general!$F$61">
      <xdr:nvSpPr>
        <xdr:cNvPr id="8" name="TextovéPole 7">
          <a:extLst>
            <a:ext uri="{FF2B5EF4-FFF2-40B4-BE49-F238E27FC236}">
              <a16:creationId xmlns:a16="http://schemas.microsoft.com/office/drawing/2014/main" id="{4644B97B-9208-4A49-93C7-7EF7D46E3435}"/>
            </a:ext>
          </a:extLst>
        </xdr:cNvPr>
        <xdr:cNvSpPr txBox="1"/>
      </xdr:nvSpPr>
      <xdr:spPr>
        <a:xfrm>
          <a:off x="504825" y="4953000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D157E9FD-DACE-4841-A8E2-7BA87FADBEE7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L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371475</xdr:colOff>
      <xdr:row>25</xdr:row>
      <xdr:rowOff>171450</xdr:rowOff>
    </xdr:from>
    <xdr:ext cx="723900" cy="264560"/>
    <xdr:sp macro="" textlink="general!$F$62">
      <xdr:nvSpPr>
        <xdr:cNvPr id="9" name="TextovéPole 8">
          <a:extLst>
            <a:ext uri="{FF2B5EF4-FFF2-40B4-BE49-F238E27FC236}">
              <a16:creationId xmlns:a16="http://schemas.microsoft.com/office/drawing/2014/main" id="{AEB7219E-9537-4F70-BE6C-5D2E4296557F}"/>
            </a:ext>
          </a:extLst>
        </xdr:cNvPr>
        <xdr:cNvSpPr txBox="1"/>
      </xdr:nvSpPr>
      <xdr:spPr>
        <a:xfrm>
          <a:off x="3419475" y="4933950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A92E13D-2C5E-4220-B8ED-0F1C6F48A63F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R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28575</xdr:rowOff>
    </xdr:from>
    <xdr:to>
      <xdr:col>8</xdr:col>
      <xdr:colOff>438150</xdr:colOff>
      <xdr:row>30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5D62629-16F6-4AA0-A85B-BD68A5A3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9575"/>
          <a:ext cx="4705350" cy="5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29</xdr:row>
      <xdr:rowOff>66675</xdr:rowOff>
    </xdr:from>
    <xdr:to>
      <xdr:col>6</xdr:col>
      <xdr:colOff>19050</xdr:colOff>
      <xdr:row>36</xdr:row>
      <xdr:rowOff>133350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id="{DC6C71CB-60E8-45BD-9C26-5E0684566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59117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85725</xdr:colOff>
      <xdr:row>28</xdr:row>
      <xdr:rowOff>19050</xdr:rowOff>
    </xdr:from>
    <xdr:ext cx="1066800" cy="264560"/>
    <xdr:sp macro="" textlink="general!$F$56">
      <xdr:nvSpPr>
        <xdr:cNvPr id="4" name="TextovéPole 3">
          <a:extLst>
            <a:ext uri="{FF2B5EF4-FFF2-40B4-BE49-F238E27FC236}">
              <a16:creationId xmlns:a16="http://schemas.microsoft.com/office/drawing/2014/main" id="{87CB9DB5-7EC4-4F4E-95F6-949BEAF33647}"/>
            </a:ext>
          </a:extLst>
        </xdr:cNvPr>
        <xdr:cNvSpPr txBox="1"/>
      </xdr:nvSpPr>
      <xdr:spPr>
        <a:xfrm>
          <a:off x="2524125" y="5353050"/>
          <a:ext cx="1066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07F9BF53-5C4E-42DE-B35E-D23F465F233A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W 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276225</xdr:colOff>
      <xdr:row>25</xdr:row>
      <xdr:rowOff>152400</xdr:rowOff>
    </xdr:from>
    <xdr:ext cx="723900" cy="264560"/>
    <xdr:sp macro="" textlink="general!$F$61">
      <xdr:nvSpPr>
        <xdr:cNvPr id="5" name="TextovéPole 4">
          <a:extLst>
            <a:ext uri="{FF2B5EF4-FFF2-40B4-BE49-F238E27FC236}">
              <a16:creationId xmlns:a16="http://schemas.microsoft.com/office/drawing/2014/main" id="{CDA0CD97-7766-420B-9847-B7A65B3F0945}"/>
            </a:ext>
          </a:extLst>
        </xdr:cNvPr>
        <xdr:cNvSpPr txBox="1"/>
      </xdr:nvSpPr>
      <xdr:spPr>
        <a:xfrm>
          <a:off x="1495425" y="4914900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D157E9FD-DACE-4841-A8E2-7BA87FADBEE7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L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447675</xdr:colOff>
      <xdr:row>25</xdr:row>
      <xdr:rowOff>142875</xdr:rowOff>
    </xdr:from>
    <xdr:ext cx="723900" cy="264560"/>
    <xdr:sp macro="" textlink="general!$F$62">
      <xdr:nvSpPr>
        <xdr:cNvPr id="6" name="TextovéPole 5">
          <a:extLst>
            <a:ext uri="{FF2B5EF4-FFF2-40B4-BE49-F238E27FC236}">
              <a16:creationId xmlns:a16="http://schemas.microsoft.com/office/drawing/2014/main" id="{23CAB09B-6543-4A04-9D3A-F45C61C0F419}"/>
            </a:ext>
          </a:extLst>
        </xdr:cNvPr>
        <xdr:cNvSpPr txBox="1"/>
      </xdr:nvSpPr>
      <xdr:spPr>
        <a:xfrm>
          <a:off x="3495675" y="490537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A92E13D-2C5E-4220-B8ED-0F1C6F48A63F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R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142875</xdr:colOff>
      <xdr:row>15</xdr:row>
      <xdr:rowOff>0</xdr:rowOff>
    </xdr:from>
    <xdr:ext cx="264560" cy="1047750"/>
    <xdr:sp macro="" textlink="general!$F$57">
      <xdr:nvSpPr>
        <xdr:cNvPr id="7" name="TextovéPole 6">
          <a:extLst>
            <a:ext uri="{FF2B5EF4-FFF2-40B4-BE49-F238E27FC236}">
              <a16:creationId xmlns:a16="http://schemas.microsoft.com/office/drawing/2014/main" id="{868F85B6-696D-488B-A181-68AE2FFA413D}"/>
            </a:ext>
          </a:extLst>
        </xdr:cNvPr>
        <xdr:cNvSpPr txBox="1"/>
      </xdr:nvSpPr>
      <xdr:spPr>
        <a:xfrm rot="16200000">
          <a:off x="4628080" y="3249095"/>
          <a:ext cx="1047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7737A99D-CB67-4F7E-BD02-3C76727B42C6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H </a:t>
          </a:fld>
          <a:endParaRPr lang="cs-CZ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161925</xdr:colOff>
      <xdr:row>5</xdr:row>
      <xdr:rowOff>180975</xdr:rowOff>
    </xdr:from>
    <xdr:ext cx="264560" cy="762000"/>
    <xdr:sp macro="" textlink="general!$F$60">
      <xdr:nvSpPr>
        <xdr:cNvPr id="8" name="TextovéPole 7">
          <a:extLst>
            <a:ext uri="{FF2B5EF4-FFF2-40B4-BE49-F238E27FC236}">
              <a16:creationId xmlns:a16="http://schemas.microsoft.com/office/drawing/2014/main" id="{429C8B7C-CA33-4240-B2CA-35A1B30FA0D7}"/>
            </a:ext>
          </a:extLst>
        </xdr:cNvPr>
        <xdr:cNvSpPr txBox="1"/>
      </xdr:nvSpPr>
      <xdr:spPr>
        <a:xfrm rot="16200000">
          <a:off x="4790005" y="1382195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4623E392-6F42-48A2-8BB4-E19161F51834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A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6</xdr:col>
      <xdr:colOff>361950</xdr:colOff>
      <xdr:row>2</xdr:row>
      <xdr:rowOff>142875</xdr:rowOff>
    </xdr:from>
    <xdr:ext cx="428625" cy="264560"/>
    <xdr:sp macro="" textlink="general!$I$36">
      <xdr:nvSpPr>
        <xdr:cNvPr id="9" name="TextovéPole 8">
          <a:extLst>
            <a:ext uri="{FF2B5EF4-FFF2-40B4-BE49-F238E27FC236}">
              <a16:creationId xmlns:a16="http://schemas.microsoft.com/office/drawing/2014/main" id="{F7FCADAF-767E-4287-B62B-E16FA2B46CE0}"/>
            </a:ext>
          </a:extLst>
        </xdr:cNvPr>
        <xdr:cNvSpPr txBox="1"/>
      </xdr:nvSpPr>
      <xdr:spPr>
        <a:xfrm>
          <a:off x="4019550" y="523875"/>
          <a:ext cx="4286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E5D31B5F-7848-4644-8663-8BFE0E34B271}" type="TxLink">
            <a:rPr lang="en-US" sz="1100" b="1" i="0" u="none" strike="noStrike">
              <a:solidFill>
                <a:schemeClr val="tx1"/>
              </a:solidFill>
              <a:latin typeface="Arial"/>
              <a:cs typeface="Arial"/>
            </a:rPr>
            <a:pPr/>
            <a:t> </a:t>
          </a:fld>
          <a:endParaRPr lang="cs-CZ" sz="1200">
            <a:solidFill>
              <a:schemeClr val="tx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29</xdr:row>
      <xdr:rowOff>152400</xdr:rowOff>
    </xdr:from>
    <xdr:to>
      <xdr:col>6</xdr:col>
      <xdr:colOff>76200</xdr:colOff>
      <xdr:row>37</xdr:row>
      <xdr:rowOff>28575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AA259C7B-04D7-4507-BE0D-695D42750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76900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3</xdr:row>
      <xdr:rowOff>133350</xdr:rowOff>
    </xdr:from>
    <xdr:to>
      <xdr:col>7</xdr:col>
      <xdr:colOff>485776</xdr:colOff>
      <xdr:row>29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9E1A56F-8111-46C6-A12D-CE25128BB2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30" t="28883" r="26225" b="22822"/>
        <a:stretch/>
      </xdr:blipFill>
      <xdr:spPr>
        <a:xfrm>
          <a:off x="847726" y="704850"/>
          <a:ext cx="3905250" cy="4857750"/>
        </a:xfrm>
        <a:prstGeom prst="rect">
          <a:avLst/>
        </a:prstGeom>
      </xdr:spPr>
    </xdr:pic>
    <xdr:clientData/>
  </xdr:twoCellAnchor>
  <xdr:oneCellAnchor>
    <xdr:from>
      <xdr:col>2</xdr:col>
      <xdr:colOff>314325</xdr:colOff>
      <xdr:row>25</xdr:row>
      <xdr:rowOff>180975</xdr:rowOff>
    </xdr:from>
    <xdr:ext cx="676275" cy="264560"/>
    <xdr:sp macro="" textlink="general!$F$61">
      <xdr:nvSpPr>
        <xdr:cNvPr id="4" name="TextovéPole 3">
          <a:extLst>
            <a:ext uri="{FF2B5EF4-FFF2-40B4-BE49-F238E27FC236}">
              <a16:creationId xmlns:a16="http://schemas.microsoft.com/office/drawing/2014/main" id="{44F5176D-C0A1-4A2C-8792-82BCADF78963}"/>
            </a:ext>
          </a:extLst>
        </xdr:cNvPr>
        <xdr:cNvSpPr txBox="1"/>
      </xdr:nvSpPr>
      <xdr:spPr>
        <a:xfrm>
          <a:off x="1533525" y="4943475"/>
          <a:ext cx="676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DAC3098E-03C5-48F4-918F-A299E972D23A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L</a:t>
          </a:fld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485775</xdr:colOff>
      <xdr:row>25</xdr:row>
      <xdr:rowOff>171450</xdr:rowOff>
    </xdr:from>
    <xdr:ext cx="676275" cy="264560"/>
    <xdr:sp macro="" textlink="general!$F$62">
      <xdr:nvSpPr>
        <xdr:cNvPr id="5" name="TextovéPole 4">
          <a:extLst>
            <a:ext uri="{FF2B5EF4-FFF2-40B4-BE49-F238E27FC236}">
              <a16:creationId xmlns:a16="http://schemas.microsoft.com/office/drawing/2014/main" id="{3DDC2C21-A0B8-4755-B009-9478AD29FB4C}"/>
            </a:ext>
          </a:extLst>
        </xdr:cNvPr>
        <xdr:cNvSpPr txBox="1"/>
      </xdr:nvSpPr>
      <xdr:spPr>
        <a:xfrm>
          <a:off x="3533775" y="4933950"/>
          <a:ext cx="676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74C1C4D-D051-4924-AB9E-57862E88E330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R</a:t>
          </a:fld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48695</xdr:colOff>
      <xdr:row>4</xdr:row>
      <xdr:rowOff>103705</xdr:rowOff>
    </xdr:from>
    <xdr:ext cx="264560" cy="1143000"/>
    <xdr:sp macro="" textlink="general!$F$60">
      <xdr:nvSpPr>
        <xdr:cNvPr id="6" name="TextovéPole 5">
          <a:extLst>
            <a:ext uri="{FF2B5EF4-FFF2-40B4-BE49-F238E27FC236}">
              <a16:creationId xmlns:a16="http://schemas.microsoft.com/office/drawing/2014/main" id="{A33842D5-C0E5-4617-AEB5-A16D74DD09C3}"/>
            </a:ext>
          </a:extLst>
        </xdr:cNvPr>
        <xdr:cNvSpPr txBox="1"/>
      </xdr:nvSpPr>
      <xdr:spPr>
        <a:xfrm rot="16200000">
          <a:off x="219075" y="1304925"/>
          <a:ext cx="1143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FA48B4C-A1FE-4E53-939C-098ABA812128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A</a:t>
          </a:fld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48694</xdr:colOff>
      <xdr:row>15</xdr:row>
      <xdr:rowOff>133349</xdr:rowOff>
    </xdr:from>
    <xdr:ext cx="264560" cy="865705"/>
    <xdr:sp macro="" textlink="general!F57">
      <xdr:nvSpPr>
        <xdr:cNvPr id="7" name="TextovéPole 6">
          <a:extLst>
            <a:ext uri="{FF2B5EF4-FFF2-40B4-BE49-F238E27FC236}">
              <a16:creationId xmlns:a16="http://schemas.microsoft.com/office/drawing/2014/main" id="{895EE283-52FD-4437-B14C-808B24A3B02F}"/>
            </a:ext>
          </a:extLst>
        </xdr:cNvPr>
        <xdr:cNvSpPr txBox="1"/>
      </xdr:nvSpPr>
      <xdr:spPr>
        <a:xfrm rot="16200000">
          <a:off x="357721" y="3291422"/>
          <a:ext cx="8657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6B5D0B0A-AFB2-425D-8BB6-7DCC691A2317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H </a:t>
          </a:fld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6</xdr:col>
      <xdr:colOff>295275</xdr:colOff>
      <xdr:row>2</xdr:row>
      <xdr:rowOff>152400</xdr:rowOff>
    </xdr:from>
    <xdr:ext cx="447675" cy="257175"/>
    <xdr:sp macro="" textlink="general!I36">
      <xdr:nvSpPr>
        <xdr:cNvPr id="8" name="TextovéPole 7">
          <a:extLst>
            <a:ext uri="{FF2B5EF4-FFF2-40B4-BE49-F238E27FC236}">
              <a16:creationId xmlns:a16="http://schemas.microsoft.com/office/drawing/2014/main" id="{4B461D9A-EBC1-486C-A5BD-B819DA172D38}"/>
            </a:ext>
          </a:extLst>
        </xdr:cNvPr>
        <xdr:cNvSpPr txBox="1"/>
      </xdr:nvSpPr>
      <xdr:spPr>
        <a:xfrm>
          <a:off x="3952875" y="533400"/>
          <a:ext cx="4476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40EB800F-EFDE-46CB-8C67-60C5CB44E816}" type="TxLink">
            <a:rPr lang="en-US" sz="1100" b="1" i="0" u="none" strike="noStrike">
              <a:solidFill>
                <a:schemeClr val="tx1"/>
              </a:solidFill>
              <a:latin typeface="Arial"/>
              <a:cs typeface="Arial"/>
            </a:rPr>
            <a:pPr/>
            <a:t> </a:t>
          </a:fld>
          <a:endParaRPr lang="en-US" sz="1100" b="1" i="0" u="none" strike="noStrike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85725</xdr:colOff>
      <xdr:row>2</xdr:row>
      <xdr:rowOff>161925</xdr:rowOff>
    </xdr:from>
    <xdr:ext cx="447675" cy="257175"/>
    <xdr:sp macro="" textlink="general!I35">
      <xdr:nvSpPr>
        <xdr:cNvPr id="9" name="TextovéPole 8">
          <a:extLst>
            <a:ext uri="{FF2B5EF4-FFF2-40B4-BE49-F238E27FC236}">
              <a16:creationId xmlns:a16="http://schemas.microsoft.com/office/drawing/2014/main" id="{BAB9B69A-2D42-42F1-BD15-E320FF040E6C}"/>
            </a:ext>
          </a:extLst>
        </xdr:cNvPr>
        <xdr:cNvSpPr txBox="1"/>
      </xdr:nvSpPr>
      <xdr:spPr>
        <a:xfrm>
          <a:off x="1304925" y="542925"/>
          <a:ext cx="4476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1BF93234-C4BC-4956-BAB6-6740F7EB1FC9}" type="TxLink">
            <a:rPr lang="en-US" sz="1100" b="1" i="0" u="none" strike="noStrike">
              <a:solidFill>
                <a:schemeClr val="tx1"/>
              </a:solidFill>
              <a:latin typeface="Arial"/>
              <a:cs typeface="Arial"/>
            </a:rPr>
            <a:pPr/>
            <a:t> </a:t>
          </a:fld>
          <a:endParaRPr lang="en-US" sz="1100" b="1" i="0" u="none" strike="noStrike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9525</xdr:colOff>
      <xdr:row>28</xdr:row>
      <xdr:rowOff>171450</xdr:rowOff>
    </xdr:from>
    <xdr:ext cx="857250" cy="254557"/>
    <xdr:sp macro="" textlink="general!$F$56">
      <xdr:nvSpPr>
        <xdr:cNvPr id="10" name="TextovéPole 9">
          <a:extLst>
            <a:ext uri="{FF2B5EF4-FFF2-40B4-BE49-F238E27FC236}">
              <a16:creationId xmlns:a16="http://schemas.microsoft.com/office/drawing/2014/main" id="{D12AF6D0-7279-45EE-8DEF-743AB7EA1C31}"/>
            </a:ext>
          </a:extLst>
        </xdr:cNvPr>
        <xdr:cNvSpPr txBox="1"/>
      </xdr:nvSpPr>
      <xdr:spPr>
        <a:xfrm>
          <a:off x="2447925" y="5505450"/>
          <a:ext cx="85725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0211A689-A854-42A6-8230-DBD82BB150D5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W 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103908</xdr:colOff>
      <xdr:row>45</xdr:row>
      <xdr:rowOff>114877</xdr:rowOff>
    </xdr:from>
    <xdr:to>
      <xdr:col>20</xdr:col>
      <xdr:colOff>727211</xdr:colOff>
      <xdr:row>71</xdr:row>
      <xdr:rowOff>53561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F113814-1EC4-4A1B-A618-3A0E9DACAD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43" t="27281" r="22280" b="23188"/>
        <a:stretch/>
      </xdr:blipFill>
      <xdr:spPr>
        <a:xfrm>
          <a:off x="8638308" y="8696902"/>
          <a:ext cx="4280903" cy="4891684"/>
        </a:xfrm>
        <a:prstGeom prst="rect">
          <a:avLst/>
        </a:prstGeom>
      </xdr:spPr>
    </xdr:pic>
    <xdr:clientData/>
  </xdr:twoCellAnchor>
  <xdr:twoCellAnchor editAs="oneCell">
    <xdr:from>
      <xdr:col>14</xdr:col>
      <xdr:colOff>151822</xdr:colOff>
      <xdr:row>100</xdr:row>
      <xdr:rowOff>106987</xdr:rowOff>
    </xdr:from>
    <xdr:to>
      <xdr:col>20</xdr:col>
      <xdr:colOff>730897</xdr:colOff>
      <xdr:row>126</xdr:row>
      <xdr:rowOff>60526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EED1ADE-709E-4C92-8842-25899CE679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23" t="27239" r="22541" b="23141"/>
        <a:stretch/>
      </xdr:blipFill>
      <xdr:spPr>
        <a:xfrm>
          <a:off x="8686222" y="19166512"/>
          <a:ext cx="4236675" cy="4906539"/>
        </a:xfrm>
        <a:prstGeom prst="rect">
          <a:avLst/>
        </a:prstGeom>
      </xdr:spPr>
    </xdr:pic>
    <xdr:clientData/>
  </xdr:twoCellAnchor>
  <xdr:twoCellAnchor editAs="oneCell">
    <xdr:from>
      <xdr:col>14</xdr:col>
      <xdr:colOff>20784</xdr:colOff>
      <xdr:row>19</xdr:row>
      <xdr:rowOff>24824</xdr:rowOff>
    </xdr:from>
    <xdr:to>
      <xdr:col>20</xdr:col>
      <xdr:colOff>608349</xdr:colOff>
      <xdr:row>44</xdr:row>
      <xdr:rowOff>146989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ED6650B4-6DED-415B-AAE9-7E0AF0FF20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7" t="27231" r="22500" b="23245"/>
        <a:stretch/>
      </xdr:blipFill>
      <xdr:spPr>
        <a:xfrm>
          <a:off x="8555184" y="3644324"/>
          <a:ext cx="4245165" cy="4894190"/>
        </a:xfrm>
        <a:prstGeom prst="rect">
          <a:avLst/>
        </a:prstGeom>
      </xdr:spPr>
    </xdr:pic>
    <xdr:clientData/>
  </xdr:twoCellAnchor>
  <xdr:twoCellAnchor editAs="oneCell">
    <xdr:from>
      <xdr:col>14</xdr:col>
      <xdr:colOff>269394</xdr:colOff>
      <xdr:row>127</xdr:row>
      <xdr:rowOff>73893</xdr:rowOff>
    </xdr:from>
    <xdr:to>
      <xdr:col>21</xdr:col>
      <xdr:colOff>102269</xdr:colOff>
      <xdr:row>153</xdr:row>
      <xdr:rowOff>14341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A002140-F4FA-49B3-86C2-B31DC7A17A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55" t="27286" r="22467" b="23231"/>
        <a:stretch/>
      </xdr:blipFill>
      <xdr:spPr>
        <a:xfrm>
          <a:off x="8803794" y="24276918"/>
          <a:ext cx="4223900" cy="4893448"/>
        </a:xfrm>
        <a:prstGeom prst="rect">
          <a:avLst/>
        </a:prstGeom>
      </xdr:spPr>
    </xdr:pic>
    <xdr:clientData/>
  </xdr:twoCellAnchor>
  <xdr:twoCellAnchor editAs="absolute">
    <xdr:from>
      <xdr:col>4</xdr:col>
      <xdr:colOff>0</xdr:colOff>
      <xdr:row>19</xdr:row>
      <xdr:rowOff>0</xdr:rowOff>
    </xdr:from>
    <xdr:to>
      <xdr:col>10</xdr:col>
      <xdr:colOff>587565</xdr:colOff>
      <xdr:row>44</xdr:row>
      <xdr:rowOff>122165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4D423BBA-7D45-4D7E-9D51-27A17FEF64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7" t="27231" r="22500" b="23245"/>
        <a:stretch/>
      </xdr:blipFill>
      <xdr:spPr>
        <a:xfrm>
          <a:off x="2438400" y="3619500"/>
          <a:ext cx="4245165" cy="4894190"/>
        </a:xfrm>
        <a:prstGeom prst="rect">
          <a:avLst/>
        </a:prstGeom>
      </xdr:spPr>
    </xdr:pic>
    <xdr:clientData/>
  </xdr:twoCellAnchor>
  <xdr:twoCellAnchor editAs="absolute">
    <xdr:from>
      <xdr:col>4</xdr:col>
      <xdr:colOff>0</xdr:colOff>
      <xdr:row>46</xdr:row>
      <xdr:rowOff>0</xdr:rowOff>
    </xdr:from>
    <xdr:to>
      <xdr:col>11</xdr:col>
      <xdr:colOff>13703</xdr:colOff>
      <xdr:row>71</xdr:row>
      <xdr:rowOff>122834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EE2649AD-4BB7-4179-A606-5F19E1072A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43" t="27281" r="22280" b="23188"/>
        <a:stretch/>
      </xdr:blipFill>
      <xdr:spPr>
        <a:xfrm>
          <a:off x="2438400" y="8772525"/>
          <a:ext cx="4280903" cy="4885334"/>
        </a:xfrm>
        <a:prstGeom prst="rect">
          <a:avLst/>
        </a:prstGeom>
      </xdr:spPr>
    </xdr:pic>
    <xdr:clientData/>
  </xdr:twoCellAnchor>
  <xdr:twoCellAnchor editAs="absolute">
    <xdr:from>
      <xdr:col>4</xdr:col>
      <xdr:colOff>0</xdr:colOff>
      <xdr:row>100</xdr:row>
      <xdr:rowOff>0</xdr:rowOff>
    </xdr:from>
    <xdr:to>
      <xdr:col>10</xdr:col>
      <xdr:colOff>598125</xdr:colOff>
      <xdr:row>125</xdr:row>
      <xdr:rowOff>137689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3F04C773-5899-45D2-84D7-C2F3E376FA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23" t="27239" r="22541" b="23141"/>
        <a:stretch/>
      </xdr:blipFill>
      <xdr:spPr>
        <a:xfrm>
          <a:off x="2438400" y="19059525"/>
          <a:ext cx="4255725" cy="4900189"/>
        </a:xfrm>
        <a:prstGeom prst="rect">
          <a:avLst/>
        </a:prstGeom>
      </xdr:spPr>
    </xdr:pic>
    <xdr:clientData/>
  </xdr:twoCellAnchor>
  <xdr:twoCellAnchor editAs="oneCell">
    <xdr:from>
      <xdr:col>14</xdr:col>
      <xdr:colOff>114300</xdr:colOff>
      <xdr:row>72</xdr:row>
      <xdr:rowOff>88901</xdr:rowOff>
    </xdr:from>
    <xdr:to>
      <xdr:col>20</xdr:col>
      <xdr:colOff>721654</xdr:colOff>
      <xdr:row>98</xdr:row>
      <xdr:rowOff>42440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F91ECF66-CD05-42BE-BBEC-8A16940623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71" t="27147" r="22468" b="23233"/>
        <a:stretch/>
      </xdr:blipFill>
      <xdr:spPr>
        <a:xfrm>
          <a:off x="8648700" y="13814426"/>
          <a:ext cx="4264954" cy="4906539"/>
        </a:xfrm>
        <a:prstGeom prst="rect">
          <a:avLst/>
        </a:prstGeom>
      </xdr:spPr>
    </xdr:pic>
    <xdr:clientData/>
  </xdr:twoCellAnchor>
  <xdr:twoCellAnchor editAs="absolute">
    <xdr:from>
      <xdr:col>4</xdr:col>
      <xdr:colOff>0</xdr:colOff>
      <xdr:row>73</xdr:row>
      <xdr:rowOff>0</xdr:rowOff>
    </xdr:from>
    <xdr:to>
      <xdr:col>10</xdr:col>
      <xdr:colOff>607354</xdr:colOff>
      <xdr:row>98</xdr:row>
      <xdr:rowOff>137689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3AFAD4C7-8404-4738-9AD3-3CB8C62569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71" t="27147" r="22468" b="23233"/>
        <a:stretch/>
      </xdr:blipFill>
      <xdr:spPr>
        <a:xfrm>
          <a:off x="2438400" y="13916025"/>
          <a:ext cx="4264954" cy="4900189"/>
        </a:xfrm>
        <a:prstGeom prst="rect">
          <a:avLst/>
        </a:prstGeom>
      </xdr:spPr>
    </xdr:pic>
    <xdr:clientData/>
  </xdr:twoCellAnchor>
  <xdr:twoCellAnchor editAs="absolute">
    <xdr:from>
      <xdr:col>4</xdr:col>
      <xdr:colOff>0</xdr:colOff>
      <xdr:row>127</xdr:row>
      <xdr:rowOff>0</xdr:rowOff>
    </xdr:from>
    <xdr:to>
      <xdr:col>10</xdr:col>
      <xdr:colOff>601225</xdr:colOff>
      <xdr:row>152</xdr:row>
      <xdr:rowOff>124598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A575FD2D-5411-43FF-BEE9-C651C6F06C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55" t="27286" r="22467" b="23231"/>
        <a:stretch/>
      </xdr:blipFill>
      <xdr:spPr>
        <a:xfrm>
          <a:off x="2438400" y="24203025"/>
          <a:ext cx="4258825" cy="4887098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323850</xdr:colOff>
      <xdr:row>36</xdr:row>
      <xdr:rowOff>142875</xdr:rowOff>
    </xdr:to>
    <xdr:cxnSp macro="">
      <xdr:nvCxnSpPr>
        <xdr:cNvPr id="12" name="Přímá spojnice se šipkou 11">
          <a:extLst>
            <a:ext uri="{FF2B5EF4-FFF2-40B4-BE49-F238E27FC236}">
              <a16:creationId xmlns:a16="http://schemas.microsoft.com/office/drawing/2014/main" id="{4B2C1CD5-822A-4D42-BF4D-3C50294767AE}"/>
            </a:ext>
          </a:extLst>
        </xdr:cNvPr>
        <xdr:cNvCxnSpPr/>
      </xdr:nvCxnSpPr>
      <xdr:spPr>
        <a:xfrm flipH="1">
          <a:off x="6096000" y="6677025"/>
          <a:ext cx="323850" cy="3333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190500</xdr:colOff>
      <xdr:row>33</xdr:row>
      <xdr:rowOff>114300</xdr:rowOff>
    </xdr:from>
    <xdr:to>
      <xdr:col>10</xdr:col>
      <xdr:colOff>428658</xdr:colOff>
      <xdr:row>34</xdr:row>
      <xdr:rowOff>181011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8F5B7B9-ADCC-4631-B0A7-B3186383D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86500" y="6410325"/>
          <a:ext cx="238158" cy="257211"/>
        </a:xfrm>
        <a:prstGeom prst="rect">
          <a:avLst/>
        </a:prstGeom>
      </xdr:spPr>
    </xdr:pic>
    <xdr:clientData/>
  </xdr:twoCellAnchor>
  <xdr:twoCellAnchor editAs="oneCell">
    <xdr:from>
      <xdr:col>21</xdr:col>
      <xdr:colOff>828675</xdr:colOff>
      <xdr:row>19</xdr:row>
      <xdr:rowOff>114300</xdr:rowOff>
    </xdr:from>
    <xdr:to>
      <xdr:col>26</xdr:col>
      <xdr:colOff>400050</xdr:colOff>
      <xdr:row>26</xdr:row>
      <xdr:rowOff>116144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514E100E-2E66-44C7-BD4E-529D92F4C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3733800"/>
          <a:ext cx="3181350" cy="1344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E296A-DA73-419F-98DC-EFE503242533}">
  <sheetPr codeName="List1">
    <pageSetUpPr fitToPage="1"/>
  </sheetPr>
  <dimension ref="A1:CT310"/>
  <sheetViews>
    <sheetView showGridLines="0" tabSelected="1" view="pageBreakPreview" topLeftCell="A33" zoomScale="85" zoomScaleNormal="85" zoomScaleSheetLayoutView="85" workbookViewId="0">
      <selection activeCell="K13" sqref="K13:M13"/>
    </sheetView>
  </sheetViews>
  <sheetFormatPr baseColWidth="10" defaultColWidth="9.140625" defaultRowHeight="15"/>
  <cols>
    <col min="1" max="1" width="2.7109375" customWidth="1"/>
    <col min="3" max="3" width="15" customWidth="1"/>
    <col min="4" max="4" width="7.140625" customWidth="1"/>
    <col min="5" max="5" width="9.140625" customWidth="1"/>
    <col min="9" max="9" width="11.140625" customWidth="1"/>
    <col min="10" max="10" width="8.42578125" customWidth="1"/>
    <col min="12" max="12" width="9.140625" customWidth="1"/>
    <col min="13" max="13" width="3.42578125" customWidth="1"/>
    <col min="15" max="15" width="16.85546875" customWidth="1"/>
    <col min="16" max="16" width="15.85546875" customWidth="1"/>
    <col min="17" max="17" width="10" bestFit="1" customWidth="1"/>
    <col min="18" max="18" width="13.5703125" customWidth="1"/>
    <col min="20" max="20" width="6.85546875" customWidth="1"/>
    <col min="21" max="21" width="14.85546875" customWidth="1"/>
    <col min="23" max="23" width="12.140625" customWidth="1"/>
    <col min="26" max="26" width="11.85546875" bestFit="1" customWidth="1"/>
    <col min="27" max="27" width="11.7109375" customWidth="1"/>
    <col min="29" max="29" width="2.140625" customWidth="1"/>
    <col min="30" max="31" width="9.140625" hidden="1" customWidth="1"/>
    <col min="32" max="32" width="8.42578125" hidden="1" customWidth="1"/>
    <col min="33" max="33" width="129.710937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89.7109375" hidden="1" customWidth="1"/>
    <col min="38" max="38" width="71.42578125" hidden="1" customWidth="1"/>
    <col min="39" max="39" width="95.7109375" hidden="1" customWidth="1"/>
    <col min="40" max="40" width="104.7109375" hidden="1" customWidth="1"/>
    <col min="41" max="41" width="94" hidden="1" customWidth="1"/>
    <col min="42" max="42" width="100.140625" hidden="1" customWidth="1"/>
    <col min="43" max="50" width="9.140625" hidden="1" customWidth="1"/>
    <col min="51" max="90" width="9.140625" customWidth="1"/>
  </cols>
  <sheetData>
    <row r="1" spans="1:98" ht="15.7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3</v>
      </c>
      <c r="AF1" s="4"/>
      <c r="AG1" t="s">
        <v>1</v>
      </c>
      <c r="AH1" s="4" t="s">
        <v>2</v>
      </c>
      <c r="AI1" s="4" t="s">
        <v>3</v>
      </c>
      <c r="AJ1" s="4" t="s">
        <v>4</v>
      </c>
      <c r="AK1" s="4" t="s">
        <v>5</v>
      </c>
      <c r="AL1" s="4" t="s">
        <v>6</v>
      </c>
      <c r="AM1" s="4" t="s">
        <v>7</v>
      </c>
      <c r="AN1" s="4" t="s">
        <v>8</v>
      </c>
      <c r="AO1" s="4" t="s">
        <v>9</v>
      </c>
      <c r="AP1" s="4" t="s">
        <v>10</v>
      </c>
      <c r="AQ1" s="4"/>
      <c r="AR1" s="4"/>
      <c r="AS1" s="4"/>
      <c r="AT1" s="4"/>
      <c r="AU1" s="4" t="str">
        <f>$AG$102</f>
        <v>hand</v>
      </c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15.75" customHeight="1" thickBot="1">
      <c r="A2" s="5"/>
      <c r="M2" s="6"/>
      <c r="N2" s="6"/>
      <c r="O2" s="6"/>
      <c r="P2" s="6"/>
      <c r="Q2" s="6"/>
      <c r="R2" s="6"/>
      <c r="S2" s="6"/>
      <c r="T2" s="6"/>
      <c r="U2" s="6"/>
      <c r="V2" s="6"/>
      <c r="W2" s="161" t="str">
        <f>AG12</f>
        <v xml:space="preserve"> HÖHERGEFÜHRTER BESCHLAG (HL)</v>
      </c>
      <c r="X2" s="161"/>
      <c r="Y2" s="161"/>
      <c r="Z2" s="161"/>
      <c r="AA2" s="161"/>
      <c r="AB2" s="162"/>
      <c r="AD2" s="7" t="s">
        <v>11</v>
      </c>
      <c r="AE2" s="8" t="s">
        <v>12</v>
      </c>
      <c r="AF2" s="9"/>
      <c r="AG2" t="str">
        <f>VLOOKUP(AH2,AH2:AR96,$AE$1,FALSE)</f>
        <v>Wählen Sie eine Sprache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  <c r="AU2" t="str">
        <f>$AG$104</f>
        <v>Haspelkette - links</v>
      </c>
    </row>
    <row r="3" spans="1:98" ht="19.5" customHeight="1" thickBot="1">
      <c r="A3" s="5"/>
      <c r="B3" s="10" t="s">
        <v>22</v>
      </c>
      <c r="C3" s="10"/>
      <c r="H3" s="11" t="str">
        <f>VLOOKUP(AG3,AG2:AR96,$AE$1+1,FALSE)</f>
        <v>Lichte Breite</v>
      </c>
      <c r="I3" s="11"/>
      <c r="K3" s="12"/>
      <c r="L3" t="s">
        <v>23</v>
      </c>
      <c r="V3" s="13"/>
      <c r="W3" s="163"/>
      <c r="X3" s="163"/>
      <c r="Y3" s="163"/>
      <c r="Z3" s="163"/>
      <c r="AA3" s="163"/>
      <c r="AB3" s="164"/>
      <c r="AD3" s="14" t="s">
        <v>2</v>
      </c>
      <c r="AE3" s="15">
        <v>1</v>
      </c>
      <c r="AF3" s="4"/>
      <c r="AG3" t="str">
        <f t="shared" ref="AG3:AG66" si="0">VLOOKUP(AH3,AH3:AR97,$AE$1,FALSE)</f>
        <v>Lichte Breite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t="s">
        <v>29</v>
      </c>
      <c r="AN3" t="s">
        <v>30</v>
      </c>
      <c r="AO3" t="s">
        <v>31</v>
      </c>
      <c r="AP3" t="s">
        <v>32</v>
      </c>
      <c r="AU3" t="str">
        <f>$AG$105</f>
        <v>Haspelkette - rechts</v>
      </c>
    </row>
    <row r="4" spans="1:98" ht="19.5" thickBot="1">
      <c r="A4" s="5"/>
      <c r="B4" s="10" t="s">
        <v>14</v>
      </c>
      <c r="C4" s="10"/>
      <c r="H4" s="11"/>
      <c r="I4" s="11"/>
      <c r="J4" s="4"/>
      <c r="X4" s="165" t="s">
        <v>33</v>
      </c>
      <c r="Y4" s="165"/>
      <c r="Z4" s="165"/>
      <c r="AA4" s="165"/>
      <c r="AB4" s="166"/>
      <c r="AD4" s="14" t="s">
        <v>3</v>
      </c>
      <c r="AE4" s="15">
        <v>2</v>
      </c>
      <c r="AF4" s="4"/>
      <c r="AG4" t="str">
        <f t="shared" si="0"/>
        <v>Lichte Höhe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t="s">
        <v>39</v>
      </c>
      <c r="AN4" t="s">
        <v>40</v>
      </c>
      <c r="AO4" t="s">
        <v>41</v>
      </c>
      <c r="AP4" t="s">
        <v>42</v>
      </c>
      <c r="AU4" t="str">
        <f>$AG$108</f>
        <v>Antrieb - rechts</v>
      </c>
    </row>
    <row r="5" spans="1:98" ht="19.5" customHeight="1" thickBot="1">
      <c r="A5" s="5"/>
      <c r="B5" s="16" t="s">
        <v>43</v>
      </c>
      <c r="C5" s="10"/>
      <c r="E5" s="17" t="s">
        <v>4</v>
      </c>
      <c r="H5" s="11" t="str">
        <f>VLOOKUP(AG4,AG2:AR96,$AE$1+1,FALSE)</f>
        <v>Lichte Höhe</v>
      </c>
      <c r="I5" s="11"/>
      <c r="K5" s="17"/>
      <c r="L5" t="s">
        <v>23</v>
      </c>
      <c r="O5" s="18" t="str">
        <f>VLOOKUP(AH99,AH99:AR175,$AE$1,FALSE)</f>
        <v>Fülen Sie bitte markierte Felder!</v>
      </c>
      <c r="X5" s="165" t="s">
        <v>44</v>
      </c>
      <c r="Y5" s="165"/>
      <c r="Z5" s="165"/>
      <c r="AA5" s="165"/>
      <c r="AB5" s="166"/>
      <c r="AD5" s="14" t="s">
        <v>4</v>
      </c>
      <c r="AE5" s="15">
        <v>3</v>
      </c>
      <c r="AF5" s="4"/>
      <c r="AG5" t="str">
        <f t="shared" si="0"/>
        <v>INNENANSICHT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U5" t="str">
        <f>$AG$107</f>
        <v>Antrieb - links</v>
      </c>
      <c r="BD5" s="19"/>
    </row>
    <row r="6" spans="1:98" ht="23.25" customHeight="1" thickBot="1">
      <c r="A6" s="5"/>
      <c r="B6" s="16" t="s">
        <v>54</v>
      </c>
      <c r="C6" s="10"/>
      <c r="J6" s="4"/>
      <c r="X6" s="20"/>
      <c r="Y6" s="20"/>
      <c r="Z6" s="20"/>
      <c r="AB6" s="5"/>
      <c r="AD6" s="14" t="s">
        <v>5</v>
      </c>
      <c r="AE6" s="15">
        <v>4</v>
      </c>
      <c r="AF6" s="4"/>
      <c r="AG6" t="str">
        <f t="shared" si="0"/>
        <v>DURCHSCHNITT A-A</v>
      </c>
      <c r="AH6" t="s">
        <v>55</v>
      </c>
      <c r="AI6" t="s">
        <v>56</v>
      </c>
      <c r="AJ6" t="s">
        <v>57</v>
      </c>
      <c r="AK6" t="s">
        <v>58</v>
      </c>
      <c r="AL6" t="s">
        <v>59</v>
      </c>
      <c r="AM6" t="s">
        <v>60</v>
      </c>
      <c r="AN6" t="s">
        <v>61</v>
      </c>
      <c r="AO6" t="s">
        <v>62</v>
      </c>
      <c r="AP6" t="s">
        <v>63</v>
      </c>
      <c r="BD6" s="19"/>
    </row>
    <row r="7" spans="1:98" ht="19.5" customHeight="1" thickBot="1">
      <c r="A7" s="5"/>
      <c r="B7" s="16" t="s">
        <v>64</v>
      </c>
      <c r="C7" s="16"/>
      <c r="H7" s="167" t="str">
        <f>AG65</f>
        <v>Freiraum über Sturz</v>
      </c>
      <c r="I7" s="167"/>
      <c r="J7" s="167"/>
      <c r="K7" s="12"/>
      <c r="L7" t="s">
        <v>23</v>
      </c>
      <c r="M7" s="21"/>
      <c r="X7" s="20"/>
      <c r="Y7" s="20"/>
      <c r="Z7" s="20"/>
      <c r="AB7" s="5"/>
      <c r="AD7" s="14" t="s">
        <v>6</v>
      </c>
      <c r="AE7" s="22">
        <v>5</v>
      </c>
      <c r="AF7" s="4"/>
      <c r="AG7" t="str">
        <f t="shared" si="0"/>
        <v>DURCHSCHNITT B-B</v>
      </c>
      <c r="AH7" t="s">
        <v>65</v>
      </c>
      <c r="AI7" t="s">
        <v>66</v>
      </c>
      <c r="AJ7" t="s">
        <v>67</v>
      </c>
      <c r="AK7" t="s">
        <v>68</v>
      </c>
      <c r="AL7" t="s">
        <v>69</v>
      </c>
      <c r="AM7" t="s">
        <v>70</v>
      </c>
      <c r="AN7" t="s">
        <v>71</v>
      </c>
      <c r="AO7" t="s">
        <v>72</v>
      </c>
      <c r="AP7" t="s">
        <v>73</v>
      </c>
      <c r="BD7" s="19"/>
    </row>
    <row r="8" spans="1:98" ht="19.5" thickBot="1">
      <c r="A8" s="5"/>
      <c r="B8" s="16" t="s">
        <v>19</v>
      </c>
      <c r="C8" s="16"/>
      <c r="D8" s="18"/>
      <c r="E8" s="18"/>
      <c r="F8" s="18"/>
      <c r="G8" s="23"/>
      <c r="H8" s="167"/>
      <c r="I8" s="167"/>
      <c r="J8" s="167"/>
      <c r="X8" s="20"/>
      <c r="Y8" s="20"/>
      <c r="Z8" s="20"/>
      <c r="AB8" s="5"/>
      <c r="AD8" s="14" t="s">
        <v>7</v>
      </c>
      <c r="AE8" s="22">
        <v>6</v>
      </c>
      <c r="AG8" t="str">
        <f t="shared" si="0"/>
        <v>ACHTUNG:</v>
      </c>
      <c r="AH8" t="s">
        <v>74</v>
      </c>
      <c r="AI8" t="s">
        <v>75</v>
      </c>
      <c r="AJ8" t="s">
        <v>76</v>
      </c>
      <c r="AK8" t="s">
        <v>77</v>
      </c>
      <c r="AL8" t="s">
        <v>78</v>
      </c>
      <c r="AM8" t="s">
        <v>79</v>
      </c>
      <c r="AN8" t="s">
        <v>80</v>
      </c>
      <c r="AO8" t="s">
        <v>81</v>
      </c>
      <c r="AP8" t="s">
        <v>82</v>
      </c>
      <c r="BD8" s="19"/>
    </row>
    <row r="9" spans="1:98" ht="19.5" thickBot="1">
      <c r="A9" s="5"/>
      <c r="B9" s="16" t="s">
        <v>20</v>
      </c>
      <c r="C9" s="16"/>
      <c r="H9" s="11" t="str">
        <f>VLOOKUP(AG101,AG8:AR101,$AE$1+1,FALSE)</f>
        <v>Bedienung</v>
      </c>
      <c r="J9" s="4"/>
      <c r="K9" s="168"/>
      <c r="L9" s="168"/>
      <c r="M9" s="168"/>
      <c r="N9" s="168"/>
      <c r="O9" s="169"/>
      <c r="P9" s="169"/>
      <c r="R9" s="170"/>
      <c r="S9" s="170"/>
      <c r="T9" s="24"/>
      <c r="AB9" s="5"/>
      <c r="AD9" s="14" t="s">
        <v>8</v>
      </c>
      <c r="AE9" s="22">
        <v>7</v>
      </c>
      <c r="BD9" s="19"/>
    </row>
    <row r="10" spans="1:98" ht="19.5" thickBot="1">
      <c r="A10" s="5"/>
      <c r="B10" s="16" t="s">
        <v>21</v>
      </c>
      <c r="C10" s="16"/>
      <c r="H10" s="11"/>
      <c r="K10" s="4"/>
      <c r="L10" s="4"/>
      <c r="M10" s="4"/>
      <c r="O10" s="11"/>
      <c r="P10" s="11"/>
      <c r="Q10" s="11" t="str">
        <f>VLOOKUP($AG$6,$AG$2:$AR$96,$AE$1+1,FALSE)</f>
        <v>DURCHSCHNITT A-A</v>
      </c>
      <c r="R10" s="4"/>
      <c r="S10" s="4"/>
      <c r="T10" s="24"/>
      <c r="AB10" s="5"/>
      <c r="AD10" s="14" t="s">
        <v>9</v>
      </c>
      <c r="AE10" s="22">
        <v>8</v>
      </c>
      <c r="BD10" s="19"/>
    </row>
    <row r="11" spans="1:98" ht="19.5" thickBot="1">
      <c r="A11" s="5"/>
      <c r="B11" s="25"/>
      <c r="C11" s="25"/>
      <c r="D11" s="25"/>
      <c r="E11" s="25"/>
      <c r="F11" s="25"/>
      <c r="G11" s="25"/>
      <c r="H11" s="11" t="str">
        <f>AG115</f>
        <v>Paneel-Typ</v>
      </c>
      <c r="K11" s="157"/>
      <c r="L11" s="157"/>
      <c r="M11" s="157"/>
      <c r="O11" s="11"/>
      <c r="P11" s="26" t="str">
        <f>IF(OR(K5="",K7=""),"D","D = ")</f>
        <v>D</v>
      </c>
      <c r="Q11" s="27" t="str">
        <f>IF(K7="","",$L$58)</f>
        <v/>
      </c>
      <c r="R11" s="4"/>
      <c r="S11" s="4"/>
      <c r="T11" s="24"/>
      <c r="AB11" s="5"/>
      <c r="AD11" s="14" t="s">
        <v>10</v>
      </c>
      <c r="AE11" s="22">
        <v>9</v>
      </c>
      <c r="BD11" s="19"/>
    </row>
    <row r="12" spans="1:98" ht="18">
      <c r="B12" s="28"/>
      <c r="C12" s="25"/>
      <c r="D12" s="158"/>
      <c r="E12" s="158"/>
      <c r="F12" s="158"/>
      <c r="G12" s="25"/>
      <c r="H12" s="29"/>
      <c r="P12" s="26" t="str">
        <f>IF(OR(K5="",K7=""),"X","X = ")</f>
        <v>X</v>
      </c>
      <c r="Q12" s="27" t="str">
        <f>IF(OR($K$5="",K7=""),"",IF($Q$11&gt;=4500,$K$5-$P$59+500,$K$5-$P$59))</f>
        <v/>
      </c>
      <c r="AB12" s="5"/>
      <c r="AG12" t="str">
        <f t="shared" si="0"/>
        <v xml:space="preserve"> HÖHERGEFÜHRTER BESCHLAG (HL)</v>
      </c>
      <c r="AH12" t="s">
        <v>83</v>
      </c>
      <c r="AI12" t="s">
        <v>84</v>
      </c>
      <c r="AJ12" t="s">
        <v>85</v>
      </c>
      <c r="AK12" t="s">
        <v>86</v>
      </c>
      <c r="AL12" t="s">
        <v>87</v>
      </c>
      <c r="AM12" t="s">
        <v>88</v>
      </c>
      <c r="AN12" t="s">
        <v>89</v>
      </c>
      <c r="AO12" t="s">
        <v>90</v>
      </c>
      <c r="AP12" t="s">
        <v>91</v>
      </c>
      <c r="BD12" s="19"/>
    </row>
    <row r="13" spans="1:98" ht="19.5" customHeight="1">
      <c r="B13" s="28"/>
      <c r="C13" s="29"/>
      <c r="D13" s="25"/>
      <c r="E13" s="25"/>
      <c r="F13" s="25"/>
      <c r="G13" s="26"/>
      <c r="H13" s="11" t="str">
        <f>AG121</f>
        <v>Laufschienen-Typ</v>
      </c>
      <c r="K13" s="159"/>
      <c r="L13" s="159"/>
      <c r="M13" s="159"/>
      <c r="Q13" s="26"/>
      <c r="R13" s="30" t="str">
        <f>IF(OR($K$5 ="",K7=""),"Y",IF($Q$11&lt;3000,"Y = 0",IF(AND($Q$11&gt;=3000,$Q$11&lt;4500),"Y = " &amp;L63,"Y = " &amp;L66)))</f>
        <v>Y</v>
      </c>
      <c r="AB13" s="5"/>
      <c r="AG13" t="str">
        <f t="shared" si="0"/>
        <v>Federn oberhalb des Sturzes</v>
      </c>
      <c r="AH13" t="s">
        <v>92</v>
      </c>
      <c r="AI13" t="s">
        <v>93</v>
      </c>
      <c r="AJ13" t="s">
        <v>94</v>
      </c>
      <c r="AK13" t="s">
        <v>95</v>
      </c>
      <c r="AL13" t="s">
        <v>96</v>
      </c>
      <c r="AM13" t="s">
        <v>97</v>
      </c>
      <c r="AN13" t="s">
        <v>98</v>
      </c>
      <c r="AO13" t="s">
        <v>99</v>
      </c>
      <c r="AP13" t="s">
        <v>100</v>
      </c>
      <c r="BD13" s="19"/>
    </row>
    <row r="14" spans="1:98" ht="18">
      <c r="B14" s="28"/>
      <c r="C14" s="25"/>
      <c r="D14" s="158" t="str">
        <f>VLOOKUP(AG5,AG4:AR98,$AE$1+1,FALSE)</f>
        <v>INNENANSICHT</v>
      </c>
      <c r="E14" s="158"/>
      <c r="F14" s="158"/>
      <c r="G14" s="25"/>
      <c r="AB14" s="5"/>
      <c r="AG14" t="str">
        <f t="shared" si="0"/>
        <v>pro HL&gt;600 und HL&lt;=1200</v>
      </c>
      <c r="AH14" t="s">
        <v>101</v>
      </c>
      <c r="AI14" t="s">
        <v>102</v>
      </c>
      <c r="AJ14" t="s">
        <v>103</v>
      </c>
      <c r="AK14" t="s">
        <v>104</v>
      </c>
      <c r="AL14" t="s">
        <v>105</v>
      </c>
      <c r="AM14" t="s">
        <v>106</v>
      </c>
      <c r="AN14" t="s">
        <v>107</v>
      </c>
      <c r="AO14" t="s">
        <v>108</v>
      </c>
      <c r="AP14" t="s">
        <v>109</v>
      </c>
      <c r="BD14" s="19"/>
    </row>
    <row r="15" spans="1:98" ht="15" customHeight="1">
      <c r="B15" s="28"/>
      <c r="C15" s="31"/>
      <c r="D15" s="25"/>
      <c r="E15" s="25"/>
      <c r="F15" s="25"/>
      <c r="G15" s="25"/>
      <c r="I15" s="32"/>
      <c r="K15" s="33" t="str">
        <f>IF(OR(K13=AG122,K13=AG123),"W&gt;7500 mm =&gt; 3'","")</f>
        <v/>
      </c>
      <c r="S15" s="26" t="str">
        <f>IF(OR($K$5="",K7=""),"Y2 ","Y2 ")</f>
        <v xml:space="preserve">Y2 </v>
      </c>
      <c r="T15" s="34" t="str">
        <f>IF(OR($K$5="",$K$7="",),"",IF($Q$11&gt;=4500,"= " &amp; L67, " =  0"))</f>
        <v/>
      </c>
      <c r="AB15" s="5"/>
      <c r="AG15" t="str">
        <f t="shared" si="0"/>
        <v>Paneel 40 mm</v>
      </c>
      <c r="AH15" t="s">
        <v>110</v>
      </c>
      <c r="AI15" t="s">
        <v>111</v>
      </c>
      <c r="AJ15" t="s">
        <v>112</v>
      </c>
      <c r="AK15" t="s">
        <v>113</v>
      </c>
      <c r="AL15" t="s">
        <v>114</v>
      </c>
      <c r="AM15" t="s">
        <v>115</v>
      </c>
      <c r="AN15" t="s">
        <v>112</v>
      </c>
      <c r="AO15" t="s">
        <v>116</v>
      </c>
      <c r="AP15" t="s">
        <v>117</v>
      </c>
      <c r="BD15" s="19"/>
    </row>
    <row r="16" spans="1:98" ht="15" customHeight="1">
      <c r="B16" s="28"/>
      <c r="C16" s="35"/>
      <c r="D16" s="35"/>
      <c r="E16" s="35"/>
      <c r="F16" s="35"/>
      <c r="G16" s="35"/>
      <c r="H16" s="35"/>
      <c r="I16" s="35"/>
      <c r="K16" s="33" t="str">
        <f>IF(OR(K13=AG122,K13=AG123),"H&gt; 4500 mm &amp;W&gt;6500 mm =&gt; 3'","")</f>
        <v/>
      </c>
      <c r="R16" s="36"/>
      <c r="S16" s="36"/>
      <c r="AB16" s="5"/>
      <c r="AG16" t="str">
        <f t="shared" si="0"/>
        <v>Max. W x H 4000x4000</v>
      </c>
      <c r="AH16" t="s">
        <v>118</v>
      </c>
      <c r="AI16" t="s">
        <v>118</v>
      </c>
      <c r="AJ16" t="s">
        <v>118</v>
      </c>
      <c r="AK16" t="s">
        <v>118</v>
      </c>
      <c r="AL16" t="s">
        <v>118</v>
      </c>
      <c r="AM16" t="s">
        <v>119</v>
      </c>
      <c r="AN16" t="s">
        <v>118</v>
      </c>
      <c r="AO16" t="s">
        <v>118</v>
      </c>
      <c r="AP16" t="s">
        <v>120</v>
      </c>
      <c r="BD16" s="19"/>
      <c r="BP16" s="19"/>
      <c r="BQ16" s="19"/>
      <c r="BR16" s="19"/>
      <c r="BS16" s="19"/>
      <c r="BT16" s="19"/>
      <c r="BU16" s="19"/>
      <c r="BV16" s="19"/>
      <c r="BW16" s="19"/>
    </row>
    <row r="17" spans="1:78">
      <c r="A17" s="5"/>
      <c r="B17" s="25"/>
      <c r="C17" s="35"/>
      <c r="D17" s="35"/>
      <c r="E17" s="35"/>
      <c r="F17" s="35"/>
      <c r="G17" s="35"/>
      <c r="H17" s="35"/>
      <c r="I17" s="35"/>
      <c r="AB17" s="5"/>
      <c r="BD17" s="19"/>
      <c r="BP17" s="19"/>
      <c r="BQ17" s="19"/>
      <c r="BR17" s="19"/>
      <c r="BS17" s="19"/>
      <c r="BT17" s="19"/>
      <c r="BU17" s="19"/>
      <c r="BV17" s="19"/>
      <c r="BW17" s="19"/>
    </row>
    <row r="18" spans="1:78">
      <c r="A18" s="5"/>
      <c r="B18" s="25"/>
      <c r="C18" s="35"/>
      <c r="D18" s="35"/>
      <c r="E18" s="35"/>
      <c r="F18" s="35"/>
      <c r="G18" s="35"/>
      <c r="H18" s="35"/>
      <c r="I18" s="35"/>
      <c r="N18" s="37"/>
      <c r="O18" s="38"/>
      <c r="S18" s="156"/>
      <c r="T18" s="39"/>
      <c r="U18" s="160"/>
      <c r="AB18" s="5"/>
      <c r="BD18" s="19"/>
      <c r="BP18" s="19"/>
      <c r="BQ18" s="19"/>
      <c r="BR18" s="19"/>
      <c r="BS18" s="19"/>
      <c r="BT18" s="19"/>
      <c r="BU18" s="19"/>
      <c r="BV18" s="19"/>
      <c r="BW18" s="19"/>
    </row>
    <row r="19" spans="1:78" ht="29.25" customHeight="1">
      <c r="B19" s="151"/>
      <c r="C19" s="35"/>
      <c r="D19" s="35"/>
      <c r="E19" s="35"/>
      <c r="F19" s="35"/>
      <c r="G19" s="35"/>
      <c r="H19" s="35"/>
      <c r="I19" s="40" t="str">
        <f xml:space="preserve"> "(1) " &amp; $AG$37</f>
        <v>(1) BENÖTIGTER FREIRAUM</v>
      </c>
      <c r="M19" s="37"/>
      <c r="N19" s="41"/>
      <c r="O19" s="42"/>
      <c r="S19" s="156"/>
      <c r="T19" s="152"/>
      <c r="U19" s="160"/>
      <c r="AB19" s="5"/>
      <c r="BD19" s="19"/>
    </row>
    <row r="20" spans="1:78">
      <c r="B20" s="151"/>
      <c r="C20" s="35"/>
      <c r="D20" s="35"/>
      <c r="E20" s="35"/>
      <c r="F20" s="35"/>
      <c r="G20" s="35"/>
      <c r="H20" s="35"/>
      <c r="I20" s="40"/>
      <c r="S20" s="156"/>
      <c r="T20" s="152"/>
      <c r="U20" s="160"/>
      <c r="AB20" s="5"/>
      <c r="AG20" t="str">
        <f t="shared" si="0"/>
        <v>Montage auf Mauerwerk und Ziegel</v>
      </c>
      <c r="AH20" t="s">
        <v>121</v>
      </c>
      <c r="AI20" t="s">
        <v>122</v>
      </c>
      <c r="AJ20" t="s">
        <v>123</v>
      </c>
      <c r="AK20" t="s">
        <v>124</v>
      </c>
      <c r="AL20" t="s">
        <v>125</v>
      </c>
      <c r="AM20" t="s">
        <v>126</v>
      </c>
      <c r="AN20" t="s">
        <v>127</v>
      </c>
      <c r="AO20" t="s">
        <v>128</v>
      </c>
      <c r="AP20" t="s">
        <v>129</v>
      </c>
      <c r="BD20" s="19"/>
      <c r="BF20" s="43"/>
    </row>
    <row r="21" spans="1:78" ht="15.75" customHeight="1">
      <c r="B21" s="153"/>
      <c r="C21" s="35"/>
      <c r="D21" s="35"/>
      <c r="E21" s="35"/>
      <c r="F21" s="35"/>
      <c r="G21" s="35"/>
      <c r="H21" s="35"/>
      <c r="I21" s="40" t="str">
        <f>IF(K9=AU1,"","(2) "&amp;$AG$48)</f>
        <v xml:space="preserve">(2) Benötigter Freiraum bei Elektro- oder Haspelkettenbedienung </v>
      </c>
      <c r="S21" s="156"/>
      <c r="Y21" s="20" t="str">
        <f>VLOOKUP(AG20,AG2:AR96,$AE$1+1,FALSE)</f>
        <v>Montage auf Mauerwerk und Ziegel</v>
      </c>
      <c r="Z21" s="20"/>
      <c r="AB21" s="5"/>
      <c r="AG21" t="str">
        <f t="shared" si="0"/>
        <v>Montage auf Porenbeton oder Gasbeton</v>
      </c>
      <c r="AH21" t="s">
        <v>130</v>
      </c>
      <c r="AI21" t="s">
        <v>131</v>
      </c>
      <c r="AJ21" t="s">
        <v>132</v>
      </c>
      <c r="AK21" t="s">
        <v>133</v>
      </c>
      <c r="AL21" t="s">
        <v>134</v>
      </c>
      <c r="AM21" t="s">
        <v>135</v>
      </c>
      <c r="AN21" t="s">
        <v>136</v>
      </c>
      <c r="AO21" t="s">
        <v>137</v>
      </c>
      <c r="AP21" t="s">
        <v>138</v>
      </c>
      <c r="BD21" s="19"/>
      <c r="BF21" s="43"/>
      <c r="BZ21" s="44"/>
    </row>
    <row r="22" spans="1:78" ht="15.75">
      <c r="B22" s="153"/>
      <c r="C22" s="35"/>
      <c r="D22" s="35"/>
      <c r="E22" s="35"/>
      <c r="F22" s="35"/>
      <c r="G22" s="35"/>
      <c r="H22" s="35"/>
      <c r="I22" s="45"/>
      <c r="T22" s="154"/>
      <c r="Y22" s="20"/>
      <c r="Z22" s="20"/>
      <c r="AB22" s="5"/>
      <c r="AG22" t="str">
        <f t="shared" si="0"/>
        <v>Montage auf ISO-Trapezblechfassade</v>
      </c>
      <c r="AH22" t="s">
        <v>139</v>
      </c>
      <c r="AI22" t="s">
        <v>140</v>
      </c>
      <c r="AJ22" t="s">
        <v>141</v>
      </c>
      <c r="AK22" t="s">
        <v>142</v>
      </c>
      <c r="AL22" t="s">
        <v>143</v>
      </c>
      <c r="AM22" t="s">
        <v>144</v>
      </c>
      <c r="AN22" t="s">
        <v>145</v>
      </c>
      <c r="AO22" t="s">
        <v>146</v>
      </c>
      <c r="AP22" t="s">
        <v>147</v>
      </c>
      <c r="BD22" s="19"/>
      <c r="BF22" s="43"/>
    </row>
    <row r="23" spans="1:78" ht="15.75">
      <c r="A23" s="5"/>
      <c r="B23" s="25"/>
      <c r="C23" s="35"/>
      <c r="D23" s="35"/>
      <c r="E23" s="35"/>
      <c r="F23" s="35"/>
      <c r="G23" s="35"/>
      <c r="H23" s="35" t="s">
        <v>148</v>
      </c>
      <c r="I23" s="45" t="str">
        <f>IF(OR(K9=AU1,K9=AU2,K9=AU3),"","(3) "&amp;$AG$49)</f>
        <v>(3) Montagefläche für Antriebsteuerung. Siehe Produktdokumentation für Abmessungen</v>
      </c>
      <c r="J23" s="46"/>
      <c r="K23" s="46"/>
      <c r="T23" s="154"/>
      <c r="Y23" s="20"/>
      <c r="Z23" s="20"/>
      <c r="AB23" s="5"/>
      <c r="AJ23" t="s">
        <v>141</v>
      </c>
      <c r="BD23" s="19"/>
      <c r="BF23" s="43"/>
    </row>
    <row r="24" spans="1:78" ht="15.75">
      <c r="A24" s="5"/>
      <c r="B24" s="25"/>
      <c r="C24" s="35"/>
      <c r="D24" s="35"/>
      <c r="E24" s="35"/>
      <c r="F24" s="35"/>
      <c r="G24" s="35"/>
      <c r="H24" s="35"/>
      <c r="I24" s="45" t="str">
        <f>IF(OR(K9=AU1,K9=AU2,K9=AU3),"","      "&amp;$AG$50)</f>
        <v xml:space="preserve">      Achse ca. 1.400 bis 1.500 mm vom Boden</v>
      </c>
      <c r="J24" s="46"/>
      <c r="K24" s="46"/>
      <c r="T24" s="155"/>
      <c r="Y24" s="20"/>
      <c r="Z24" s="20"/>
      <c r="AB24" s="5"/>
      <c r="BD24" s="19"/>
      <c r="BF24" s="43"/>
    </row>
    <row r="25" spans="1:78" ht="15.75">
      <c r="A25" s="5"/>
      <c r="B25" s="25"/>
      <c r="C25" s="35"/>
      <c r="D25" s="35"/>
      <c r="E25" s="35"/>
      <c r="F25" s="35"/>
      <c r="G25" s="35"/>
      <c r="H25" s="35"/>
      <c r="I25" s="35"/>
      <c r="J25" s="20"/>
      <c r="K25" s="20"/>
      <c r="L25" s="20"/>
      <c r="M25" s="20"/>
      <c r="N25" s="20"/>
      <c r="O25" s="20"/>
      <c r="P25" s="20"/>
      <c r="Q25" s="20"/>
      <c r="T25" s="155"/>
      <c r="Y25" s="20"/>
      <c r="Z25" s="20"/>
      <c r="AB25" s="5"/>
      <c r="AG25" t="str">
        <f t="shared" si="0"/>
        <v>VORBEREITUNGEN UND ARBEITEN DIE VOM AUFTRAGGEBER ZU ERBRINGEN SIND, AUßER BEI SCHRIFTLICHER VEREINBARUNG IM VORAUS:</v>
      </c>
      <c r="AH25" t="s">
        <v>149</v>
      </c>
      <c r="AI25" t="s">
        <v>150</v>
      </c>
      <c r="AJ25" t="s">
        <v>151</v>
      </c>
      <c r="AK25" t="s">
        <v>152</v>
      </c>
      <c r="AL25" t="s">
        <v>153</v>
      </c>
      <c r="AM25" t="s">
        <v>154</v>
      </c>
      <c r="AN25" t="s">
        <v>155</v>
      </c>
      <c r="AO25" t="s">
        <v>156</v>
      </c>
      <c r="AP25" t="s">
        <v>157</v>
      </c>
      <c r="BD25" s="19"/>
      <c r="BF25" s="43"/>
    </row>
    <row r="26" spans="1:78" ht="15.75">
      <c r="A26" s="5"/>
      <c r="B26" s="25"/>
      <c r="C26" s="35"/>
      <c r="D26" s="35"/>
      <c r="E26" s="35"/>
      <c r="F26" s="35"/>
      <c r="G26" s="35"/>
      <c r="H26" s="35"/>
      <c r="I26" s="45" t="str">
        <f>IF(OR(K9=AU1,K9=AU2,K9=AU3),"","(4) "&amp;$AG$51)</f>
        <v>(4) Die Parameter der Steckdosen sind in der Produktdokumentation zu finden.</v>
      </c>
      <c r="J26" s="20"/>
      <c r="K26" s="20"/>
      <c r="L26" s="20"/>
      <c r="M26" s="20"/>
      <c r="N26" s="20"/>
      <c r="O26" s="20"/>
      <c r="P26" s="20"/>
      <c r="Q26" s="20"/>
      <c r="T26" s="156"/>
      <c r="U26" s="146"/>
      <c r="Y26" s="20" t="str">
        <f>VLOOKUP(AG21,AG2:AR96,$AE$1+1,FALSE)</f>
        <v>Montage auf Porenbeton oder Gasbeton</v>
      </c>
      <c r="Z26" s="20"/>
      <c r="AB26" s="5"/>
      <c r="AG26" t="str">
        <f t="shared" si="0"/>
        <v>Bauseits:</v>
      </c>
      <c r="AH26" t="s">
        <v>158</v>
      </c>
      <c r="AI26" t="s">
        <v>159</v>
      </c>
      <c r="AJ26" t="s">
        <v>160</v>
      </c>
      <c r="AK26" t="s">
        <v>161</v>
      </c>
      <c r="AL26" t="s">
        <v>162</v>
      </c>
      <c r="AM26" t="s">
        <v>163</v>
      </c>
      <c r="AN26" t="s">
        <v>164</v>
      </c>
      <c r="AO26" t="s">
        <v>165</v>
      </c>
      <c r="AP26" t="s">
        <v>166</v>
      </c>
      <c r="BD26" s="19"/>
      <c r="BF26" s="43"/>
    </row>
    <row r="27" spans="1:78" ht="15.75">
      <c r="B27" s="147"/>
      <c r="C27" s="35"/>
      <c r="D27" s="35"/>
      <c r="E27" s="35"/>
      <c r="F27" s="35"/>
      <c r="G27" s="35"/>
      <c r="H27" s="35"/>
      <c r="I27" s="45"/>
      <c r="J27" s="20"/>
      <c r="K27" s="20"/>
      <c r="L27" s="20"/>
      <c r="M27" s="20"/>
      <c r="N27" s="20"/>
      <c r="O27" s="20"/>
      <c r="P27" s="20"/>
      <c r="Q27" s="20"/>
      <c r="T27" s="156"/>
      <c r="U27" s="146"/>
      <c r="Y27" s="20"/>
      <c r="Z27" s="20"/>
      <c r="AB27" s="5"/>
      <c r="AG27" t="str">
        <f t="shared" si="0"/>
        <v>Ein stählerner Montagerahmen zur Befestigung der vertikalen Laufschienen und des Federpakets bei nicht tragfähigen Flächen wie z.B. Porenbeton, Gasbeton, Isolationspanelen u.s.w..</v>
      </c>
      <c r="AH27" t="s">
        <v>167</v>
      </c>
      <c r="AI27" t="s">
        <v>168</v>
      </c>
      <c r="AJ27" t="s">
        <v>169</v>
      </c>
      <c r="AK27" t="s">
        <v>170</v>
      </c>
      <c r="AL27" t="s">
        <v>171</v>
      </c>
      <c r="AM27" t="s">
        <v>172</v>
      </c>
      <c r="AN27" t="s">
        <v>173</v>
      </c>
      <c r="AO27" t="s">
        <v>174</v>
      </c>
      <c r="AP27" t="s">
        <v>175</v>
      </c>
      <c r="BD27" s="19"/>
      <c r="BF27" s="43"/>
    </row>
    <row r="28" spans="1:78" ht="29.25" customHeight="1">
      <c r="B28" s="147"/>
      <c r="C28" s="35"/>
      <c r="D28" s="35"/>
      <c r="E28" s="35"/>
      <c r="F28" s="35"/>
      <c r="G28" s="35"/>
      <c r="H28" s="35"/>
      <c r="I28" s="45" t="str">
        <f>IF(OR(K9=AU1,K9=AU2,K9=AU3),"","(5) "&amp;$AG$36)</f>
        <v xml:space="preserve">(5) MONTAGEFLÄCHE FÜR DEN MOTOR </v>
      </c>
      <c r="J28" s="20"/>
      <c r="K28" s="20"/>
      <c r="L28" s="20"/>
      <c r="M28" s="20"/>
      <c r="N28" s="20"/>
      <c r="O28" s="20"/>
      <c r="P28" s="20"/>
      <c r="Q28" s="20"/>
      <c r="U28" s="47"/>
      <c r="Y28" s="20"/>
      <c r="Z28" s="20"/>
      <c r="AB28" s="5"/>
      <c r="AG28" t="str">
        <f t="shared" si="0"/>
        <v>Befestigungsmöglichkeit für die Zwischen- und Endaufhängung der horizontalen Laufschienen bis zu max. 1 m über diesen Laufschienen.</v>
      </c>
      <c r="AH28" t="s">
        <v>176</v>
      </c>
      <c r="AI28" t="s">
        <v>177</v>
      </c>
      <c r="AJ28" t="s">
        <v>178</v>
      </c>
      <c r="AK28" t="s">
        <v>179</v>
      </c>
      <c r="AL28" t="s">
        <v>180</v>
      </c>
      <c r="AM28" t="s">
        <v>181</v>
      </c>
      <c r="AN28" t="s">
        <v>182</v>
      </c>
      <c r="AO28" t="s">
        <v>183</v>
      </c>
      <c r="AP28" t="s">
        <v>184</v>
      </c>
      <c r="BD28" s="19"/>
      <c r="BF28" s="43"/>
    </row>
    <row r="29" spans="1:78" ht="15.75">
      <c r="B29" s="147"/>
      <c r="C29" s="35"/>
      <c r="D29" s="35"/>
      <c r="E29" s="35"/>
      <c r="F29" s="35"/>
      <c r="G29" s="35"/>
      <c r="H29" s="35"/>
      <c r="I29" s="35"/>
      <c r="J29" s="20"/>
      <c r="K29" s="20"/>
      <c r="L29" s="20"/>
      <c r="M29" s="20"/>
      <c r="N29" s="20"/>
      <c r="P29" s="20"/>
      <c r="Q29" s="20"/>
      <c r="R29" s="148"/>
      <c r="S29" s="148"/>
      <c r="Y29" s="20"/>
      <c r="Z29" s="20"/>
      <c r="AB29" s="5"/>
      <c r="AG29" t="str">
        <f t="shared" si="0"/>
        <v>Benötigte Montageflächen und Freiräume gemäß Zeichnung.</v>
      </c>
      <c r="AH29" t="s">
        <v>185</v>
      </c>
      <c r="AI29" t="s">
        <v>186</v>
      </c>
      <c r="AJ29" t="s">
        <v>187</v>
      </c>
      <c r="AK29" t="s">
        <v>188</v>
      </c>
      <c r="AL29" t="s">
        <v>189</v>
      </c>
      <c r="AN29" t="s">
        <v>190</v>
      </c>
      <c r="AO29" t="s">
        <v>191</v>
      </c>
      <c r="AP29" t="s">
        <v>192</v>
      </c>
      <c r="BD29" s="19"/>
      <c r="BF29" s="43"/>
    </row>
    <row r="30" spans="1:78" ht="17.25" customHeight="1">
      <c r="B30" s="147"/>
      <c r="C30" s="35"/>
      <c r="D30" s="35"/>
      <c r="E30" s="35"/>
      <c r="F30" s="35"/>
      <c r="G30" s="35"/>
      <c r="H30" s="35"/>
      <c r="I30" s="35"/>
      <c r="L30" s="48"/>
      <c r="M30" s="48"/>
      <c r="N30" s="48"/>
      <c r="P30" s="48"/>
      <c r="Q30" s="48"/>
      <c r="Y30" s="20"/>
      <c r="Z30" s="20"/>
      <c r="AB30" s="5"/>
      <c r="AG30" t="str">
        <f t="shared" si="0"/>
        <v>Elektrisch (bei elektrisch bedienten Toren):</v>
      </c>
      <c r="AH30" t="s">
        <v>193</v>
      </c>
      <c r="AI30" t="s">
        <v>194</v>
      </c>
      <c r="AJ30" t="s">
        <v>195</v>
      </c>
      <c r="AK30" t="s">
        <v>196</v>
      </c>
      <c r="AL30" t="s">
        <v>197</v>
      </c>
      <c r="AM30" t="s">
        <v>198</v>
      </c>
      <c r="AN30" t="s">
        <v>199</v>
      </c>
      <c r="AO30" t="s">
        <v>200</v>
      </c>
      <c r="AP30" t="s">
        <v>201</v>
      </c>
      <c r="BD30" s="19"/>
      <c r="BF30" s="43"/>
    </row>
    <row r="31" spans="1:78" ht="15.75">
      <c r="B31" s="49"/>
      <c r="C31" s="35"/>
      <c r="D31" s="35"/>
      <c r="E31" s="35"/>
      <c r="F31" s="35"/>
      <c r="G31" s="35"/>
      <c r="H31" s="35"/>
      <c r="I31" s="35"/>
      <c r="J31" s="50"/>
      <c r="K31" s="48"/>
      <c r="L31" s="48"/>
      <c r="M31" s="48"/>
      <c r="O31" s="20"/>
      <c r="P31" s="48"/>
      <c r="Q31" s="48"/>
      <c r="Y31" s="149" t="str">
        <f>VLOOKUP(AG22,AG2:AR96,$AE$1+1,FALSE)</f>
        <v>Montage auf ISO-Trapezblechfassade</v>
      </c>
      <c r="Z31" s="149"/>
      <c r="AA31" s="149"/>
      <c r="AB31" s="5"/>
      <c r="AG31" t="str">
        <f t="shared" si="0"/>
        <v>Stromzufuhr 400V/230V mittels Eurosteckdose, 3 Phasen+0+PE max.1 meter vom Schaltkasten.</v>
      </c>
      <c r="AH31" t="s">
        <v>202</v>
      </c>
      <c r="AI31" t="s">
        <v>203</v>
      </c>
      <c r="AJ31" t="s">
        <v>204</v>
      </c>
      <c r="AK31" t="s">
        <v>205</v>
      </c>
      <c r="AL31" t="s">
        <v>206</v>
      </c>
      <c r="AM31" t="s">
        <v>207</v>
      </c>
      <c r="AN31" t="s">
        <v>208</v>
      </c>
      <c r="AO31" t="s">
        <v>209</v>
      </c>
      <c r="AP31" t="s">
        <v>210</v>
      </c>
      <c r="BD31" s="19"/>
      <c r="BF31" s="43"/>
    </row>
    <row r="32" spans="1:78" ht="15.75" customHeight="1">
      <c r="B32" s="28"/>
      <c r="C32" s="35"/>
      <c r="D32" s="35"/>
      <c r="E32" s="35"/>
      <c r="F32" s="35"/>
      <c r="G32" s="35"/>
      <c r="H32" s="35"/>
      <c r="I32" s="35" t="str">
        <f>IF(K3="","",IF(K9=AG102,125,IF(OR(K9=AG105,K9=AG108),375,IF(AND(K9=AG105,K9=AG108),375,125))))</f>
        <v/>
      </c>
      <c r="N32" s="48"/>
      <c r="O32" s="48"/>
      <c r="Y32" s="149"/>
      <c r="Z32" s="149"/>
      <c r="AA32" s="149"/>
      <c r="AB32" s="5"/>
      <c r="AG32" t="str">
        <f t="shared" si="0"/>
        <v>Montagefläche für Schaltkasten, Abmessungen.</v>
      </c>
      <c r="AH32" t="s">
        <v>211</v>
      </c>
      <c r="AI32" t="s">
        <v>212</v>
      </c>
      <c r="AJ32" t="s">
        <v>213</v>
      </c>
      <c r="AK32" t="s">
        <v>214</v>
      </c>
      <c r="AL32" t="s">
        <v>215</v>
      </c>
      <c r="AM32" t="s">
        <v>216</v>
      </c>
      <c r="AN32" t="s">
        <v>217</v>
      </c>
      <c r="AO32" t="s">
        <v>218</v>
      </c>
      <c r="AP32" t="s">
        <v>219</v>
      </c>
      <c r="BD32" s="19"/>
      <c r="BF32" s="43"/>
    </row>
    <row r="33" spans="1:58">
      <c r="B33" s="28"/>
      <c r="C33" s="35"/>
      <c r="D33" s="35"/>
      <c r="E33" s="35"/>
      <c r="F33" s="35"/>
      <c r="G33" s="35"/>
      <c r="H33" s="35"/>
      <c r="I33" s="35" t="str">
        <f>IF(K3="","",IF(K9=AG102,125,IF(OR(K9=AG107,K9=AG107),375,IF(OR(K9=AG104,K9=AG107),375,125))))</f>
        <v/>
      </c>
      <c r="AB33" s="5"/>
      <c r="BF33" s="43"/>
    </row>
    <row r="34" spans="1:58">
      <c r="A34" s="5"/>
      <c r="B34" s="25"/>
      <c r="C34" s="35"/>
      <c r="D34" s="35"/>
      <c r="E34" s="35"/>
      <c r="F34" s="35"/>
      <c r="G34" s="35"/>
      <c r="H34" s="35"/>
      <c r="I34" s="35" t="str">
        <f>IF(K13="","",IF($K$13="2""",80,100))</f>
        <v/>
      </c>
      <c r="AB34" s="5"/>
      <c r="BF34" s="43"/>
    </row>
    <row r="35" spans="1:58">
      <c r="A35" s="5"/>
      <c r="B35" s="25"/>
      <c r="C35" s="35"/>
      <c r="D35" s="35"/>
      <c r="E35" s="35"/>
      <c r="F35" s="35"/>
      <c r="G35" s="35"/>
      <c r="H35" s="35"/>
      <c r="I35" s="35" t="str">
        <f>IF(K13="","",IF(OR(K9=AU3,K9=AU4,K9=AU2,K9=AU1),IF($K$13="2""",100,120),""))</f>
        <v/>
      </c>
      <c r="R35" s="150">
        <f>IF($K$11=$AG$117,290,250)</f>
        <v>250</v>
      </c>
      <c r="AB35" s="5"/>
      <c r="AG35" t="str">
        <f t="shared" ref="AG35:AG37" si="1">VLOOKUP(AH35,AH35:AR129,$AE$1,FALSE)</f>
        <v>BENÖTIGTE MONTAGEFLÄCHEN</v>
      </c>
      <c r="AH35" t="s">
        <v>220</v>
      </c>
      <c r="AI35" t="s">
        <v>221</v>
      </c>
      <c r="AJ35" t="s">
        <v>222</v>
      </c>
      <c r="AK35" t="s">
        <v>223</v>
      </c>
      <c r="AL35" t="s">
        <v>224</v>
      </c>
      <c r="AM35" t="s">
        <v>225</v>
      </c>
      <c r="AN35" t="s">
        <v>226</v>
      </c>
      <c r="AO35" t="s">
        <v>227</v>
      </c>
      <c r="AP35" t="s">
        <v>228</v>
      </c>
      <c r="BD35" s="19"/>
      <c r="BF35" s="43"/>
    </row>
    <row r="36" spans="1:58">
      <c r="A36" s="5"/>
      <c r="B36" s="25"/>
      <c r="C36" s="35"/>
      <c r="D36" s="35"/>
      <c r="E36" s="35"/>
      <c r="F36" s="35"/>
      <c r="G36" s="35"/>
      <c r="H36" s="35"/>
      <c r="I36" s="35" t="str">
        <f>IF(K13="","",IF(OR(K9=AU2,K9=AU5,K9=AU3,K9=AU1),IF($K$13="2""",100,120),""))</f>
        <v/>
      </c>
      <c r="R36" s="150"/>
      <c r="AB36" s="5"/>
      <c r="AG36" t="str">
        <f t="shared" si="1"/>
        <v xml:space="preserve">MONTAGEFLÄCHE FÜR DEN MOTOR </v>
      </c>
      <c r="AH36" t="s">
        <v>229</v>
      </c>
      <c r="AI36" t="s">
        <v>230</v>
      </c>
      <c r="AJ36" t="s">
        <v>231</v>
      </c>
      <c r="AK36" t="s">
        <v>232</v>
      </c>
      <c r="AL36" t="s">
        <v>233</v>
      </c>
      <c r="AM36" t="s">
        <v>234</v>
      </c>
      <c r="AN36" t="s">
        <v>235</v>
      </c>
      <c r="AO36" t="s">
        <v>236</v>
      </c>
      <c r="AP36" t="s">
        <v>237</v>
      </c>
      <c r="BD36" s="19"/>
      <c r="BF36" s="43"/>
    </row>
    <row r="37" spans="1:58" ht="15.75">
      <c r="A37" s="5"/>
      <c r="B37" s="26"/>
      <c r="C37" s="35"/>
      <c r="D37" s="35"/>
      <c r="E37" s="35"/>
      <c r="F37" s="35"/>
      <c r="G37" s="35"/>
      <c r="H37" s="35"/>
      <c r="I37" s="35"/>
      <c r="L37" s="20" t="str">
        <f>VLOOKUP(AG41,AG2:AR96,$AE$1+1,FALSE)</f>
        <v>Bodenneigung</v>
      </c>
      <c r="R37" s="51"/>
      <c r="S37" s="4"/>
      <c r="AB37" s="5"/>
      <c r="AG37" t="str">
        <f t="shared" si="1"/>
        <v>BENÖTIGTER FREIRAUM</v>
      </c>
      <c r="AH37" t="s">
        <v>238</v>
      </c>
      <c r="AI37" t="s">
        <v>239</v>
      </c>
      <c r="AJ37" t="s">
        <v>240</v>
      </c>
      <c r="AK37" t="s">
        <v>241</v>
      </c>
      <c r="AL37" t="s">
        <v>242</v>
      </c>
      <c r="AM37" t="s">
        <v>243</v>
      </c>
      <c r="AN37" t="s">
        <v>244</v>
      </c>
      <c r="AO37" t="s">
        <v>245</v>
      </c>
      <c r="AP37" t="s">
        <v>246</v>
      </c>
      <c r="BD37" s="19"/>
      <c r="BF37" s="43"/>
    </row>
    <row r="38" spans="1:58" ht="15.75">
      <c r="B38" s="28"/>
      <c r="C38" s="25"/>
      <c r="D38" s="25"/>
      <c r="E38" s="25"/>
      <c r="F38" s="25"/>
      <c r="G38" s="25"/>
      <c r="N38" s="20"/>
      <c r="AB38" s="5"/>
      <c r="AJ38" t="s">
        <v>247</v>
      </c>
      <c r="BD38" s="19"/>
      <c r="BF38" s="43"/>
    </row>
    <row r="39" spans="1:58" ht="18.75">
      <c r="B39" s="52"/>
      <c r="E39" s="11" t="str">
        <f>VLOOKUP(AG7,AG2:AR96,$AE$1+1,FALSE)</f>
        <v>DURCHSCHNITT B-B</v>
      </c>
      <c r="N39" s="20"/>
      <c r="Y39" s="142"/>
      <c r="Z39" s="142"/>
      <c r="AA39" s="142"/>
      <c r="AB39" s="5"/>
      <c r="BD39" s="19"/>
      <c r="BF39" s="43"/>
    </row>
    <row r="40" spans="1:58" ht="15.75">
      <c r="B40" s="52"/>
      <c r="N40" s="20"/>
      <c r="O40" s="20"/>
      <c r="Y40" s="142"/>
      <c r="Z40" s="142"/>
      <c r="AA40" s="142"/>
      <c r="AB40" s="5"/>
      <c r="BD40" s="19"/>
      <c r="BF40" s="43"/>
    </row>
    <row r="41" spans="1:58" ht="15.75">
      <c r="B41" s="52"/>
      <c r="N41" s="20"/>
      <c r="O41" s="20"/>
      <c r="AB41" s="5"/>
      <c r="AG41" t="str">
        <f t="shared" si="0"/>
        <v>Bodenneigung</v>
      </c>
      <c r="AH41" t="s">
        <v>248</v>
      </c>
      <c r="AI41" t="s">
        <v>249</v>
      </c>
      <c r="AJ41" t="s">
        <v>250</v>
      </c>
      <c r="AK41" t="s">
        <v>251</v>
      </c>
      <c r="AL41" t="s">
        <v>252</v>
      </c>
      <c r="AM41" t="s">
        <v>253</v>
      </c>
      <c r="AN41" t="s">
        <v>254</v>
      </c>
      <c r="AO41" t="s">
        <v>255</v>
      </c>
      <c r="AP41" t="s">
        <v>256</v>
      </c>
      <c r="BD41" s="19"/>
      <c r="BF41" s="43"/>
    </row>
    <row r="42" spans="1:58" ht="15.75">
      <c r="B42" s="52"/>
      <c r="C42" s="141">
        <f>IF($K$11=$AG$117,290,250)</f>
        <v>250</v>
      </c>
      <c r="O42" s="20"/>
      <c r="Y42" s="142"/>
      <c r="Z42" s="142"/>
      <c r="AA42" s="142"/>
      <c r="AB42" s="5"/>
      <c r="AG42" t="str">
        <f t="shared" si="0"/>
        <v>nach aussen</v>
      </c>
      <c r="AH42" t="s">
        <v>257</v>
      </c>
      <c r="AI42" t="s">
        <v>258</v>
      </c>
      <c r="AJ42" t="s">
        <v>259</v>
      </c>
      <c r="AK42" t="s">
        <v>260</v>
      </c>
      <c r="AL42" t="str">
        <f>""</f>
        <v/>
      </c>
      <c r="AM42" t="s">
        <v>261</v>
      </c>
      <c r="AN42" t="s">
        <v>262</v>
      </c>
      <c r="AO42" t="s">
        <v>263</v>
      </c>
      <c r="BD42" s="19"/>
      <c r="BF42" s="43"/>
    </row>
    <row r="43" spans="1:58" ht="15.75" customHeight="1">
      <c r="A43" s="5"/>
      <c r="B43" s="143"/>
      <c r="C43" s="141"/>
      <c r="N43" s="20"/>
      <c r="O43" s="20"/>
      <c r="Y43" s="142"/>
      <c r="Z43" s="142"/>
      <c r="AA43" s="142"/>
      <c r="AB43" s="5"/>
      <c r="AG43" t="str">
        <f t="shared" si="0"/>
        <v>Gefälle 3%</v>
      </c>
      <c r="AH43" t="s">
        <v>264</v>
      </c>
      <c r="AI43" t="s">
        <v>265</v>
      </c>
      <c r="AJ43" t="s">
        <v>266</v>
      </c>
      <c r="AK43" t="s">
        <v>267</v>
      </c>
      <c r="AL43" t="s">
        <v>268</v>
      </c>
      <c r="AM43" t="s">
        <v>269</v>
      </c>
      <c r="AN43" t="s">
        <v>270</v>
      </c>
      <c r="AO43" t="s">
        <v>271</v>
      </c>
      <c r="AP43" s="53" t="s">
        <v>272</v>
      </c>
      <c r="BD43" s="19"/>
      <c r="BF43" s="43"/>
    </row>
    <row r="44" spans="1:58" ht="15.75">
      <c r="A44" s="5"/>
      <c r="B44" s="143"/>
      <c r="L44" s="20"/>
      <c r="N44" s="20"/>
      <c r="O44" s="20"/>
      <c r="AB44" s="5"/>
      <c r="AG44" t="str">
        <f t="shared" si="0"/>
        <v>Wasserschenkel</v>
      </c>
      <c r="AH44" t="s">
        <v>257</v>
      </c>
      <c r="AI44" t="s">
        <v>273</v>
      </c>
      <c r="AJ44" t="s">
        <v>274</v>
      </c>
      <c r="AK44" t="s">
        <v>260</v>
      </c>
      <c r="AL44" t="s">
        <v>252</v>
      </c>
      <c r="AM44" t="s">
        <v>275</v>
      </c>
      <c r="AN44" t="s">
        <v>276</v>
      </c>
      <c r="AO44" t="s">
        <v>277</v>
      </c>
      <c r="BD44" s="19"/>
      <c r="BF44" s="43"/>
    </row>
    <row r="45" spans="1:58" ht="15.75">
      <c r="B45" s="52"/>
      <c r="C45" s="144"/>
      <c r="D45" s="53"/>
      <c r="E45" s="145"/>
      <c r="F45" s="145"/>
      <c r="N45" s="20"/>
      <c r="O45" s="20"/>
      <c r="R45" s="54" t="str">
        <f>VLOOKUP(AG35,AG2:AR96,$AE$1+1,FALSE)</f>
        <v>BENÖTIGTE MONTAGEFLÄCHEN</v>
      </c>
      <c r="S45" s="54"/>
      <c r="T45" s="54"/>
      <c r="U45" s="54"/>
      <c r="V45" s="54"/>
      <c r="W45" s="54"/>
      <c r="X45" s="54"/>
      <c r="Y45" s="54"/>
      <c r="Z45" s="54"/>
      <c r="AA45" s="54"/>
      <c r="AB45" s="5"/>
      <c r="AG45" t="str">
        <f t="shared" si="0"/>
        <v>Boden mit</v>
      </c>
      <c r="AH45" t="s">
        <v>248</v>
      </c>
      <c r="AI45" t="s">
        <v>278</v>
      </c>
      <c r="AJ45" t="s">
        <v>279</v>
      </c>
      <c r="AK45" t="s">
        <v>251</v>
      </c>
      <c r="AL45" t="str">
        <f>""</f>
        <v/>
      </c>
      <c r="AM45" t="s">
        <v>280</v>
      </c>
      <c r="AN45" t="s">
        <v>281</v>
      </c>
      <c r="AO45" t="s">
        <v>282</v>
      </c>
      <c r="AP45" t="s">
        <v>283</v>
      </c>
      <c r="BD45" s="19"/>
      <c r="BF45" s="43"/>
    </row>
    <row r="46" spans="1:58" ht="15.75">
      <c r="B46" s="52"/>
      <c r="C46" s="144"/>
      <c r="D46" s="53"/>
      <c r="E46" s="31"/>
      <c r="F46" s="145"/>
      <c r="G46" s="145"/>
      <c r="O46" s="20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"/>
      <c r="BD46" s="19"/>
      <c r="BF46" s="43"/>
    </row>
    <row r="47" spans="1:58" ht="15.75">
      <c r="A47" s="5"/>
      <c r="O47" s="20"/>
      <c r="R47" s="54" t="str">
        <f>VLOOKUP(AG36,AG4:AR97,$AE$1+1,FALSE)</f>
        <v xml:space="preserve">MONTAGEFLÄCHE FÜR DEN MOTOR </v>
      </c>
      <c r="S47" s="54"/>
      <c r="T47" s="54"/>
      <c r="U47" s="54"/>
      <c r="V47" s="54"/>
      <c r="W47" s="54"/>
      <c r="X47" t="str">
        <f>VLOOKUP(AG37,AG4:AR97,$AE$1+1,FALSE)</f>
        <v>BENÖTIGTER FREIRAUM</v>
      </c>
      <c r="Y47" s="54"/>
      <c r="Z47" s="54"/>
      <c r="AA47" s="54"/>
      <c r="AB47" s="5"/>
      <c r="BD47" s="19"/>
      <c r="BF47" s="43"/>
    </row>
    <row r="48" spans="1:58">
      <c r="A48" s="5"/>
      <c r="X48" s="54"/>
      <c r="AB48" s="5"/>
      <c r="AG48" t="str">
        <f t="shared" si="0"/>
        <v xml:space="preserve">Benötigter Freiraum bei Elektro- oder Haspelkettenbedienung </v>
      </c>
      <c r="AH48" t="s">
        <v>284</v>
      </c>
      <c r="AI48" t="s">
        <v>285</v>
      </c>
      <c r="AJ48" t="s">
        <v>286</v>
      </c>
      <c r="AK48" t="s">
        <v>287</v>
      </c>
      <c r="AL48" t="s">
        <v>288</v>
      </c>
      <c r="AM48" t="s">
        <v>289</v>
      </c>
      <c r="AN48" t="s">
        <v>290</v>
      </c>
      <c r="AO48" t="s">
        <v>291</v>
      </c>
      <c r="AP48" t="s">
        <v>292</v>
      </c>
      <c r="BD48" s="19"/>
      <c r="BF48" s="43"/>
    </row>
    <row r="49" spans="1:58" ht="15.75">
      <c r="A49" s="5"/>
      <c r="B49" s="20" t="str">
        <f>VLOOKUP(AG8,AG2:AR96,$AE$1+1,FALSE)</f>
        <v>ACHTUNG:</v>
      </c>
      <c r="C49" s="20"/>
      <c r="D49" s="55"/>
      <c r="E49" s="20"/>
      <c r="F49" s="20"/>
      <c r="G49" s="20"/>
      <c r="H49" s="20"/>
      <c r="I49" s="20"/>
      <c r="J49" s="20"/>
      <c r="K49" s="20"/>
      <c r="AB49" s="5"/>
      <c r="AG49" t="str">
        <f t="shared" si="0"/>
        <v>Montagefläche für Antriebsteuerung. Siehe Produktdokumentation für Abmessungen</v>
      </c>
      <c r="AH49" t="s">
        <v>293</v>
      </c>
      <c r="AI49" t="s">
        <v>294</v>
      </c>
      <c r="AJ49" t="s">
        <v>295</v>
      </c>
      <c r="AK49" t="s">
        <v>296</v>
      </c>
      <c r="AL49" t="s">
        <v>297</v>
      </c>
      <c r="AM49" t="s">
        <v>298</v>
      </c>
      <c r="AN49" t="s">
        <v>299</v>
      </c>
      <c r="AO49" t="s">
        <v>300</v>
      </c>
      <c r="AP49" t="s">
        <v>301</v>
      </c>
      <c r="BD49" s="19"/>
      <c r="BF49" s="43"/>
    </row>
    <row r="50" spans="1:58" ht="15.75">
      <c r="A50" s="5"/>
      <c r="B50" s="20" t="str">
        <f>AG130</f>
        <v>Für Seilbruchsicher mit orangefarbenem Deckel Seitenabstand (L und R) min. 145mm</v>
      </c>
      <c r="C50" s="20"/>
      <c r="D50" s="20"/>
      <c r="E50" s="20"/>
      <c r="F50" s="20"/>
      <c r="G50" s="20"/>
      <c r="H50" s="20"/>
      <c r="I50" s="20"/>
      <c r="J50" s="20"/>
      <c r="K50" s="20"/>
      <c r="AB50" s="5"/>
      <c r="AG50" t="str">
        <f t="shared" si="0"/>
        <v>Achse ca. 1.400 bis 1.500 mm vom Boden</v>
      </c>
      <c r="AH50" t="s">
        <v>302</v>
      </c>
      <c r="AI50" t="s">
        <v>303</v>
      </c>
      <c r="AJ50" t="s">
        <v>304</v>
      </c>
      <c r="AK50" t="s">
        <v>305</v>
      </c>
      <c r="AL50" t="s">
        <v>306</v>
      </c>
      <c r="AM50" t="s">
        <v>307</v>
      </c>
      <c r="AN50" t="s">
        <v>308</v>
      </c>
      <c r="AO50" t="s">
        <v>309</v>
      </c>
      <c r="AP50" t="s">
        <v>310</v>
      </c>
      <c r="BD50" s="19"/>
      <c r="BF50" s="43"/>
    </row>
    <row r="51" spans="1:58" ht="15.75">
      <c r="B51" s="56" t="str">
        <f>VLOOKUP(AG55,AG2:AR96,$AE$1+1,FALSE)</f>
        <v>Die hinteren Seiten der Sturze und Pfeiler, sowie die Montagefläche für das Federpaket müssen eben und auf einer Linie liegen.</v>
      </c>
      <c r="C51" s="57"/>
      <c r="D51" s="57"/>
      <c r="E51" s="57"/>
      <c r="F51" s="57"/>
      <c r="G51" s="57"/>
      <c r="H51" s="57"/>
      <c r="I51" s="57"/>
      <c r="J51" s="57"/>
      <c r="K51" s="20"/>
      <c r="R51" s="137" t="str">
        <f>VLOOKUP(AG25,AG2:AR96,$AE$1+1,FALSE)</f>
        <v>VORBEREITUNGEN UND ARBEITEN DIE VOM AUFTRAGGEBER ZU ERBRINGEN SIND, AUßER BEI SCHRIFTLICHER VEREINBARUNG IM VORAUS:</v>
      </c>
      <c r="S51" s="137"/>
      <c r="T51" s="137"/>
      <c r="U51" s="137"/>
      <c r="V51" s="137"/>
      <c r="W51" s="137"/>
      <c r="X51" s="137"/>
      <c r="Y51" s="137"/>
      <c r="Z51" s="137"/>
      <c r="AA51" s="137"/>
      <c r="AB51" s="138"/>
      <c r="AG51" t="str">
        <f t="shared" si="0"/>
        <v>Die Parameter der Steckdosen sind in der Produktdokumentation zu finden.</v>
      </c>
      <c r="AH51" t="s">
        <v>311</v>
      </c>
      <c r="AI51" t="s">
        <v>312</v>
      </c>
      <c r="AJ51" t="s">
        <v>313</v>
      </c>
      <c r="AK51" t="s">
        <v>314</v>
      </c>
      <c r="AL51" t="s">
        <v>315</v>
      </c>
      <c r="AM51" t="s">
        <v>316</v>
      </c>
      <c r="AN51" t="s">
        <v>317</v>
      </c>
      <c r="AO51" t="s">
        <v>318</v>
      </c>
      <c r="AP51" t="s">
        <v>319</v>
      </c>
      <c r="BD51" s="19"/>
      <c r="BF51" s="43"/>
    </row>
    <row r="52" spans="1:58" ht="15.75">
      <c r="B52" s="58" t="str">
        <f>VLOOKUP(AG56,AG2:AR96,$AE$1+1,FALSE)</f>
        <v>Im übrigen müssen die lichten Masse eben und rechtwinklig sein.</v>
      </c>
      <c r="C52" s="20"/>
      <c r="D52" s="20"/>
      <c r="E52" s="20"/>
      <c r="F52" s="20"/>
      <c r="G52" s="20"/>
      <c r="H52" s="20"/>
      <c r="I52" s="20"/>
      <c r="J52" s="20"/>
      <c r="K52" s="20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8"/>
      <c r="BD52" s="19"/>
      <c r="BF52" s="43"/>
    </row>
    <row r="53" spans="1:58" ht="15.75" customHeight="1">
      <c r="B53" s="58" t="str">
        <f>VLOOKUP(AG57,AG2:AR96,$AE$1+1,FALSE)</f>
        <v>Der Fussboden muss glatt und waagerecht sein.</v>
      </c>
      <c r="C53" s="20"/>
      <c r="D53" s="20"/>
      <c r="E53" s="20"/>
      <c r="F53" s="20"/>
      <c r="G53" s="20"/>
      <c r="H53" s="20"/>
      <c r="I53" s="20"/>
      <c r="J53" s="20"/>
      <c r="K53" s="20"/>
      <c r="R53" t="str">
        <f>VLOOKUP(AG26,AG2:AR96,$AE$1+1,FALSE)</f>
        <v>Bauseits:</v>
      </c>
      <c r="AB53" s="5"/>
      <c r="BD53" s="19"/>
      <c r="BF53" s="43"/>
    </row>
    <row r="54" spans="1:58" ht="15.75" customHeight="1" thickBot="1">
      <c r="B54" s="58" t="str">
        <f>AG119</f>
        <v>Wenn 1 1/4 "Schaft, Sturz ist HL + 360 und Achse der Welle ist HL + 210 mm</v>
      </c>
      <c r="C54" s="20"/>
      <c r="D54" s="20"/>
      <c r="E54" s="20"/>
      <c r="F54" s="20"/>
      <c r="G54" s="20"/>
      <c r="H54" s="59"/>
      <c r="I54" s="59"/>
      <c r="J54" s="59"/>
      <c r="K54" s="59"/>
      <c r="L54" s="1"/>
      <c r="R54" s="139" t="str">
        <f>VLOOKUP(AG27,AG2:AR96,$AE$1+1,FALSE)</f>
        <v>Ein stählerner Montagerahmen zur Befestigung der vertikalen Laufschienen und des Federpakets bei nicht tragfähigen Flächen wie z.B. Porenbeton, Gasbeton, Isolationspanelen u.s.w..</v>
      </c>
      <c r="S54" s="139"/>
      <c r="T54" s="139"/>
      <c r="U54" s="139"/>
      <c r="V54" s="139"/>
      <c r="W54" s="139"/>
      <c r="X54" s="139"/>
      <c r="Y54" s="139"/>
      <c r="Z54" s="139"/>
      <c r="AA54" s="139"/>
      <c r="AB54" s="140"/>
      <c r="BD54" s="19"/>
      <c r="BF54" s="43"/>
    </row>
    <row r="55" spans="1:58" ht="15.75" customHeight="1" thickBot="1">
      <c r="B55" s="60" t="str">
        <f>VLOOKUP(AG60,AG2:AR96,$AE$1+1,FALSE)</f>
        <v>MASSE in mm</v>
      </c>
      <c r="C55" s="61"/>
      <c r="D55" s="61"/>
      <c r="E55" s="61"/>
      <c r="F55" s="62"/>
      <c r="G55" s="63" t="str">
        <f>IF(K9="",AG76,AG101&amp;":" &amp; "  " &amp;K9)</f>
        <v>Elektrisch- oder Haspelkettenbedient</v>
      </c>
      <c r="H55" s="64"/>
      <c r="I55" s="64"/>
      <c r="J55" s="64"/>
      <c r="K55" s="63"/>
      <c r="L55" s="65"/>
      <c r="M55" s="66" t="str">
        <f>VLOOKUP(AG81,AG6:AR99,$AE$1+1,FALSE)</f>
        <v>Freiraum über Sturz</v>
      </c>
      <c r="N55" s="67"/>
      <c r="O55" s="67"/>
      <c r="P55" s="68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40"/>
      <c r="AG55" t="str">
        <f t="shared" si="0"/>
        <v>Die hinteren Seiten der Sturze und Pfeiler, sowie die Montagefläche für das Federpaket müssen eben und auf einer Linie liegen.</v>
      </c>
      <c r="AH55" t="s">
        <v>320</v>
      </c>
      <c r="AI55" t="s">
        <v>321</v>
      </c>
      <c r="AJ55" t="s">
        <v>322</v>
      </c>
      <c r="AK55" t="s">
        <v>323</v>
      </c>
      <c r="AL55" t="s">
        <v>324</v>
      </c>
      <c r="AM55" t="s">
        <v>325</v>
      </c>
      <c r="AN55" t="s">
        <v>326</v>
      </c>
      <c r="AO55" t="s">
        <v>327</v>
      </c>
      <c r="AP55" t="s">
        <v>328</v>
      </c>
      <c r="BD55" s="19"/>
      <c r="BF55" s="43"/>
    </row>
    <row r="56" spans="1:58" ht="15.75" thickBot="1">
      <c r="B56" s="69" t="s">
        <v>329</v>
      </c>
      <c r="C56" s="61" t="str">
        <f>VLOOKUP(AG61,AG3:AR96,$AE$1+1,FALSE)</f>
        <v>Lichte Breite</v>
      </c>
      <c r="D56" s="61"/>
      <c r="F56" s="62" t="str">
        <f>IF(K3="","W ","W = " &amp;K3)</f>
        <v xml:space="preserve">W </v>
      </c>
      <c r="G56" s="69" t="str">
        <f>IF(K9="","L/R","L")</f>
        <v>L/R</v>
      </c>
      <c r="H56" s="61" t="str">
        <f>IF(K9="",AG131,VLOOKUP(AG67,AG7:AR100,$AE$1+1,FALSE))</f>
        <v xml:space="preserve">Antriebseite </v>
      </c>
      <c r="I56" s="61"/>
      <c r="K56" s="61"/>
      <c r="L56" s="70" t="str">
        <f>IF(K9="","min. 375",F61)</f>
        <v>min. 375</v>
      </c>
      <c r="M56" s="71" t="s">
        <v>330</v>
      </c>
      <c r="P56" s="5" t="str">
        <f>IF(K7="","",K7)</f>
        <v/>
      </c>
      <c r="AB56" s="5"/>
      <c r="AG56" t="str">
        <f>VLOOKUP(AH56,AH56:AR150,$AE$1,FALSE)</f>
        <v>Im übrigen müssen die lichten Masse eben und rechtwinklig sein.</v>
      </c>
      <c r="AH56" t="s">
        <v>331</v>
      </c>
      <c r="AI56" t="s">
        <v>332</v>
      </c>
      <c r="AJ56" t="s">
        <v>333</v>
      </c>
      <c r="AK56" t="s">
        <v>334</v>
      </c>
      <c r="AL56" t="s">
        <v>335</v>
      </c>
      <c r="AM56" t="s">
        <v>336</v>
      </c>
      <c r="AN56" t="s">
        <v>337</v>
      </c>
      <c r="AO56" t="s">
        <v>338</v>
      </c>
      <c r="AP56" t="s">
        <v>339</v>
      </c>
      <c r="BD56" s="19"/>
      <c r="BF56" s="43"/>
    </row>
    <row r="57" spans="1:58" ht="15.75" thickBot="1">
      <c r="B57" s="69" t="s">
        <v>340</v>
      </c>
      <c r="C57" s="1" t="str">
        <f>VLOOKUP(AG62,AG3:AR96,$AE$1+1,FALSE)</f>
        <v>Lichte Höhe</v>
      </c>
      <c r="D57" s="61"/>
      <c r="E57" s="61"/>
      <c r="F57" s="62" t="str">
        <f>IF(K5="","H ","H = " &amp;K5)</f>
        <v xml:space="preserve">H </v>
      </c>
      <c r="G57" s="69" t="str">
        <f>IF(K9="","L/R","R")</f>
        <v>L/R</v>
      </c>
      <c r="H57" s="61" t="str">
        <f>IF(K9="",AG132,VLOOKUP(AG68,AG8:AR101,$AE$1+1,FALSE))</f>
        <v xml:space="preserve">Andere Seite </v>
      </c>
      <c r="I57" s="61"/>
      <c r="J57" s="61"/>
      <c r="K57" s="61"/>
      <c r="L57" s="72" t="str">
        <f>IF(K9="","min. 125",F62)</f>
        <v>min. 125</v>
      </c>
      <c r="M57" s="60"/>
      <c r="N57" s="61"/>
      <c r="O57" s="61"/>
      <c r="P57" s="62"/>
      <c r="R57" t="str">
        <f>VLOOKUP(AG29,AG2:AR96,$AE$1+1,FALSE)</f>
        <v>Benötigte Montageflächen und Freiräume gemäß Zeichnung.</v>
      </c>
      <c r="AB57" s="5"/>
      <c r="AG57" t="str">
        <f>VLOOKUP(AH57,AH57:AR151,$AE$1,FALSE)</f>
        <v>Der Fussboden muss glatt und waagerecht sein.</v>
      </c>
      <c r="AH57" t="s">
        <v>341</v>
      </c>
      <c r="AI57" t="s">
        <v>342</v>
      </c>
      <c r="AJ57" t="s">
        <v>343</v>
      </c>
      <c r="AK57" t="s">
        <v>344</v>
      </c>
      <c r="AL57" t="s">
        <v>345</v>
      </c>
      <c r="AM57" t="s">
        <v>346</v>
      </c>
      <c r="AN57" t="s">
        <v>347</v>
      </c>
      <c r="AO57" t="s">
        <v>348</v>
      </c>
      <c r="AP57" t="s">
        <v>349</v>
      </c>
      <c r="BD57" s="19"/>
      <c r="BF57" s="43"/>
    </row>
    <row r="58" spans="1:58" ht="15.75" thickBot="1">
      <c r="B58" s="69" t="s">
        <v>350</v>
      </c>
      <c r="C58" s="60" t="str">
        <f>AG63</f>
        <v>Höhe der Führung</v>
      </c>
      <c r="D58" s="61"/>
      <c r="E58" s="61"/>
      <c r="F58" s="73" t="str">
        <f>IF(K7="","HL ","HL = " &amp;P59)</f>
        <v xml:space="preserve">HL </v>
      </c>
      <c r="G58" s="69" t="str">
        <f>IF(G56="","","D")</f>
        <v>D</v>
      </c>
      <c r="H58" s="61" t="str">
        <f>AG69</f>
        <v>Einbautiefe</v>
      </c>
      <c r="I58" s="61"/>
      <c r="J58" s="61"/>
      <c r="K58" s="74" t="str">
        <f>IF(G56="","","H - HL + 1000")</f>
        <v>H - HL + 1000</v>
      </c>
      <c r="L58" s="62" t="str">
        <f>IF(G56="","",IF(OR(K5="",K7=""),"",K5-P59+1000))</f>
        <v/>
      </c>
      <c r="M58" s="63" t="str">
        <f>AG63</f>
        <v>Höhe der Führung</v>
      </c>
      <c r="N58" s="63"/>
      <c r="O58" s="63"/>
      <c r="P58" s="65"/>
      <c r="R58" t="str">
        <f>VLOOKUP(AG30,AG2:AR96,$AE$1+1,FALSE)</f>
        <v>Elektrisch (bei elektrisch bedienten Toren):</v>
      </c>
      <c r="AB58" s="5"/>
      <c r="BD58" s="19"/>
      <c r="BF58" s="43"/>
    </row>
    <row r="59" spans="1:58" ht="15.75" thickBot="1">
      <c r="A59" s="5"/>
      <c r="B59" s="75" t="s">
        <v>330</v>
      </c>
      <c r="C59" s="1" t="str">
        <f>VLOOKUP(AG65,AG5:AR98,$AE$1+1,FALSE)</f>
        <v>Freiraum über Sturz</v>
      </c>
      <c r="D59" s="1"/>
      <c r="E59" s="1"/>
      <c r="F59" s="62" t="str">
        <f>IF(K7="","F ","F = " &amp;K7)</f>
        <v xml:space="preserve">F </v>
      </c>
      <c r="G59" s="63" t="str">
        <f>IF(OR(L58&lt;=3000,K5=""),VLOOKUP(AG79,AG6:AR99,$AE$1+1,FALSE),"")</f>
        <v>Aufhängepunkte, wenn</v>
      </c>
      <c r="H59" s="63"/>
      <c r="I59" s="63"/>
      <c r="J59" s="63" t="str">
        <f>IF(OR(L58&lt;=3000,K5=""),"D&lt;=3000","")</f>
        <v>D&lt;=3000</v>
      </c>
      <c r="K59" s="63"/>
      <c r="L59" s="65"/>
      <c r="M59" s="76" t="s">
        <v>350</v>
      </c>
      <c r="N59" s="77" t="str">
        <f>IF(OR(K5="",K7=""),"",IF(K11=AG117,O59-40,O59))</f>
        <v/>
      </c>
      <c r="O59" s="78">
        <f>IF(AND(K7&lt;1640,K5&lt;4800),K7-270,IF(AND(K7&gt;=1641,K7&lt;3370,K5&lt;4800),K7-320,K7-360))</f>
        <v>-270</v>
      </c>
      <c r="P59" s="62" t="str">
        <f>IF(OR(K3="",K5=""),"",IF(AND(N59&gt;4100,K5&gt;4100),4100,IF(N59&gt;K5,K5-10,N59)))</f>
        <v/>
      </c>
      <c r="R59" t="str">
        <f>VLOOKUP(AG51,AG2:AR96,$AE$1+1,FALSE)</f>
        <v>Die Parameter der Steckdosen sind in der Produktdokumentation zu finden.</v>
      </c>
      <c r="AB59" s="5"/>
      <c r="BD59" s="19"/>
      <c r="BF59" s="43"/>
    </row>
    <row r="60" spans="1:58" ht="15.75" thickBot="1">
      <c r="A60" s="5"/>
      <c r="B60" s="69" t="s">
        <v>351</v>
      </c>
      <c r="C60" s="1" t="str">
        <f>VLOOKUP(AG82,AG6:AR99,$AE$1+1,FALSE)</f>
        <v>Mitte Achse zum Sturz</v>
      </c>
      <c r="D60" s="61"/>
      <c r="E60" s="61"/>
      <c r="F60" s="79" t="str">
        <f>IF(K7="","A","A = " &amp;P64)</f>
        <v>A</v>
      </c>
      <c r="G60" s="69" t="str">
        <f>IF(OR(L58&lt;=3000,K5=""),"X","")</f>
        <v>X</v>
      </c>
      <c r="H60" s="61" t="str">
        <f>IF(OR(L58&lt;=3000,K5=""),VLOOKUP(AG80,AG6:AR99,$AE$1+1,FALSE),"")</f>
        <v>Aufhängepunkte</v>
      </c>
      <c r="I60" s="61"/>
      <c r="J60" s="61"/>
      <c r="K60" s="74" t="str">
        <f>IF(K5="","H- HL",IF(L58&lt;=3000,"H - HL",""))</f>
        <v>H- HL</v>
      </c>
      <c r="L60" s="79" t="str">
        <f>IF(L58&lt;3000,IF(OR(K3="",K5="",K7=""),"",K5-P59),"")</f>
        <v/>
      </c>
      <c r="M60" s="80" t="s">
        <v>352</v>
      </c>
      <c r="N60" s="80"/>
      <c r="O60" s="61"/>
      <c r="P60" s="81" t="s">
        <v>353</v>
      </c>
      <c r="AA60" s="1"/>
      <c r="AB60" s="79"/>
      <c r="AG60" t="str">
        <f t="shared" si="0"/>
        <v>MASSE in mm</v>
      </c>
      <c r="AH60" t="s">
        <v>354</v>
      </c>
      <c r="AI60" t="s">
        <v>355</v>
      </c>
      <c r="AJ60" t="s">
        <v>356</v>
      </c>
      <c r="AK60" t="s">
        <v>357</v>
      </c>
      <c r="AL60" t="s">
        <v>358</v>
      </c>
      <c r="AM60" t="s">
        <v>359</v>
      </c>
      <c r="AN60" t="s">
        <v>360</v>
      </c>
      <c r="AO60" t="s">
        <v>361</v>
      </c>
      <c r="AP60" t="s">
        <v>362</v>
      </c>
      <c r="BD60" s="19"/>
      <c r="BF60" s="43"/>
    </row>
    <row r="61" spans="1:58" ht="15.75" thickBot="1">
      <c r="B61" s="69" t="s">
        <v>363</v>
      </c>
      <c r="C61" s="1" t="str">
        <f>VLOOKUP(AG67,AG7:AR100,$AE$1+1,FALSE)</f>
        <v>Freiraum LINKS</v>
      </c>
      <c r="F61" s="62" t="str">
        <f>IF(OR(K3="",K9=""),"L",IF($K$13=$AG$123,"L =" &amp; $I$33+25,"L = " &amp;$I$33))</f>
        <v>L</v>
      </c>
      <c r="G61" s="10" t="str">
        <f>IF(K5="",VLOOKUP(AG79,AG6:AR99,$AE$1+1,FALSE),IF(AND(L58&gt;=3000,L58&lt;4500),VLOOKUP(AG79,AG6:AR99,$AE$1+1,FALSE),""))</f>
        <v>Aufhängepunkte, wenn</v>
      </c>
      <c r="H61" s="10"/>
      <c r="I61" s="63"/>
      <c r="J61" s="63" t="str">
        <f>IF(K5="","3000&lt;D&lt;=4500",IF(AND(L58&gt;3000,L58&lt;=4500),"3000&lt;D&lt;=4500",""))</f>
        <v>3000&lt;D&lt;=4500</v>
      </c>
      <c r="K61" s="10"/>
      <c r="L61" s="10"/>
      <c r="M61" s="80" t="s">
        <v>364</v>
      </c>
      <c r="N61" s="80"/>
      <c r="O61" s="61"/>
      <c r="P61" s="81" t="s">
        <v>365</v>
      </c>
      <c r="R61" s="117" t="str">
        <f>VLOOKUP(AG85,AG2:AR96,$AE$1+1,FALSE)</f>
        <v>Aufgestellt:</v>
      </c>
      <c r="S61" s="118"/>
      <c r="T61" s="117" t="str">
        <f>VLOOKUP(AG86,AG2:AR96,$AE$1+1,FALSE)</f>
        <v>Bereinigt:</v>
      </c>
      <c r="U61" s="118"/>
      <c r="V61" s="117" t="str">
        <f>VLOOKUP(AG87,AG2:AR96,$AE$1+1,FALSE)</f>
        <v>Bereinigt am:</v>
      </c>
      <c r="W61" s="118"/>
      <c r="X61" s="117" t="str">
        <f>VLOOKUP(AG88,AG2:AR96,$AE$1+1,FALSE)</f>
        <v>Dateiname:</v>
      </c>
      <c r="Y61" s="118"/>
      <c r="Z61" s="82" t="str">
        <f>VLOOKUP(AG89,AG2:AR96,$AE$1+1,FALSE)</f>
        <v>Datum:</v>
      </c>
      <c r="AA61" s="69" t="str">
        <f>VLOOKUP(AG90,AG2:AR96,$AE$1+1,FALSE)</f>
        <v>Massst.:</v>
      </c>
      <c r="AB61" s="22" t="str">
        <f>VLOOKUP(AG91,AG2:AR96,$AE$1+1,FALSE)</f>
        <v>Format:</v>
      </c>
      <c r="AG61" t="str">
        <f t="shared" si="0"/>
        <v>Lichte Breite</v>
      </c>
      <c r="AH61" t="s">
        <v>24</v>
      </c>
      <c r="AI61" t="s">
        <v>25</v>
      </c>
      <c r="AJ61" t="s">
        <v>26</v>
      </c>
      <c r="AK61" t="s">
        <v>27</v>
      </c>
      <c r="AL61" t="s">
        <v>28</v>
      </c>
      <c r="AM61" t="s">
        <v>29</v>
      </c>
      <c r="AN61" t="s">
        <v>30</v>
      </c>
      <c r="AO61" t="s">
        <v>31</v>
      </c>
      <c r="AP61" t="s">
        <v>366</v>
      </c>
      <c r="BD61" s="19"/>
      <c r="BF61" s="43"/>
    </row>
    <row r="62" spans="1:58" ht="15.75" thickBot="1">
      <c r="B62" s="69" t="s">
        <v>367</v>
      </c>
      <c r="C62" s="1" t="str">
        <f>VLOOKUP(AG68,AG8:AR101,$AE$1+1,FALSE)</f>
        <v>Freiraum RECHTS</v>
      </c>
      <c r="D62" s="61"/>
      <c r="E62" s="61"/>
      <c r="F62" s="62" t="str">
        <f>IF(OR(K3="",K9=""),"R",IF(AND($K$13=$AG$123,K3&lt;&gt;"",K9&lt;&gt;""),"R = "&amp;$I$32+25,"R = "&amp;$I$32))</f>
        <v>R</v>
      </c>
      <c r="G62" s="69" t="str">
        <f>IF(K5="","X",IF(AND(L58&gt;3000,L58&lt;=4500),"X",""))</f>
        <v>X</v>
      </c>
      <c r="H62" s="61" t="str">
        <f>IF(K5="",VLOOKUP(AG70,AG6:AR99,$AE$1+1,FALSE),IF(AND(L58&gt;3000,L58&lt;=4500),VLOOKUP(AG70,AG6:AR99,$AE$1+1,FALSE),""))</f>
        <v>1. Aufhängepunkt</v>
      </c>
      <c r="J62" s="61"/>
      <c r="K62" s="74" t="str">
        <f>IF(K5="","H-HL",IF(AND(L58&gt;3000,L58&lt;=4500),"H -HL",""))</f>
        <v>H-HL</v>
      </c>
      <c r="L62" s="62" t="str">
        <f>IF(OR(K3="",K5="",K7=""),"",IF(AND(L58&gt;3000,L58&lt;=4500),IF(OR(K3="",K5="",K7=""),"",K5-P59),""))</f>
        <v/>
      </c>
      <c r="M62" s="80" t="s">
        <v>368</v>
      </c>
      <c r="N62" s="80"/>
      <c r="O62" s="61"/>
      <c r="P62" s="81" t="s">
        <v>369</v>
      </c>
      <c r="R62" s="117" t="s">
        <v>370</v>
      </c>
      <c r="S62" s="118"/>
      <c r="T62" s="117" t="s">
        <v>371</v>
      </c>
      <c r="U62" s="118"/>
      <c r="V62" s="121">
        <v>45019</v>
      </c>
      <c r="W62" s="118"/>
      <c r="X62" s="117" t="s">
        <v>372</v>
      </c>
      <c r="Y62" s="118"/>
      <c r="Z62" s="83">
        <v>45385</v>
      </c>
      <c r="AA62" s="75" t="s">
        <v>373</v>
      </c>
      <c r="AB62" s="84" t="s">
        <v>374</v>
      </c>
      <c r="AG62" t="str">
        <f t="shared" si="0"/>
        <v>Lichte Höhe</v>
      </c>
      <c r="AH62" t="s">
        <v>34</v>
      </c>
      <c r="AI62" t="s">
        <v>35</v>
      </c>
      <c r="AJ62" t="s">
        <v>36</v>
      </c>
      <c r="AK62" t="s">
        <v>37</v>
      </c>
      <c r="AL62" t="s">
        <v>38</v>
      </c>
      <c r="AM62" t="s">
        <v>39</v>
      </c>
      <c r="AN62" t="s">
        <v>40</v>
      </c>
      <c r="AO62" t="s">
        <v>41</v>
      </c>
      <c r="AP62" t="s">
        <v>375</v>
      </c>
      <c r="BD62" s="19"/>
      <c r="BF62" s="43"/>
    </row>
    <row r="63" spans="1:58" ht="15.75" customHeight="1" thickBot="1">
      <c r="A63" s="5"/>
      <c r="B63" s="69" t="s">
        <v>376</v>
      </c>
      <c r="C63" s="1" t="str">
        <f>VLOOKUP(AG69,AG9:AR102,$AE$1+1,FALSE)</f>
        <v>Einbautiefe</v>
      </c>
      <c r="D63" s="61"/>
      <c r="E63" s="61"/>
      <c r="F63" s="62" t="str">
        <f>IF(K7="","D","D = " &amp;L58)</f>
        <v>D</v>
      </c>
      <c r="G63" s="22" t="str">
        <f>IF(K5="","Y",IF(AND(L58&gt;3000,L58&lt;=4500),"Y",""))</f>
        <v>Y</v>
      </c>
      <c r="H63" s="61" t="str">
        <f>IF(K5="",VLOOKUP(AG71,AG6:AR99,$AE$1+1,FALSE),IF(AND(L58&gt;3000,L58&lt;=4500),VLOOKUP(AG71,AG6:AR99,$AE$1+1,FALSE),""))</f>
        <v>2. Aufhängepunkt</v>
      </c>
      <c r="I63" s="61"/>
      <c r="J63" s="61"/>
      <c r="K63" s="74" t="str">
        <f>IF(K5="","1/2 X",IF(AND(L58&gt;3000,L58&lt;=4500),"1/2 X",""))</f>
        <v>1/2 X</v>
      </c>
      <c r="L63" s="62" t="str">
        <f>IF(OR(K3="",K5="",K7=""),"",IF(AND(L58&gt;3000,L58&lt;=4500),ROUNDDOWN(L62/2,0),""))</f>
        <v/>
      </c>
      <c r="M63" s="85" t="str">
        <f>VLOOKUP(AG82,AG6:AR99,$AE$1+1,FALSE)</f>
        <v>Mitte Achse zum Sturz</v>
      </c>
      <c r="N63" s="63"/>
      <c r="O63" s="86"/>
      <c r="P63" s="87"/>
      <c r="R63" s="122" t="s">
        <v>377</v>
      </c>
      <c r="S63" s="123"/>
      <c r="T63" s="123"/>
      <c r="U63" s="124"/>
      <c r="V63" s="128" t="str">
        <f>VLOOKUP(AG92,AG2:AR96,$AE$1+1,FALSE)</f>
        <v>BAUBEREITSCHAFT</v>
      </c>
      <c r="W63" s="129"/>
      <c r="X63" s="129"/>
      <c r="Y63" s="129"/>
      <c r="Z63" s="129"/>
      <c r="AA63" s="129"/>
      <c r="AB63" s="130"/>
      <c r="AG63" t="str">
        <f t="shared" si="0"/>
        <v>Höhe der Führung</v>
      </c>
      <c r="AH63" t="s">
        <v>378</v>
      </c>
      <c r="AI63" t="s">
        <v>379</v>
      </c>
      <c r="AJ63" t="s">
        <v>380</v>
      </c>
      <c r="AK63" t="s">
        <v>381</v>
      </c>
      <c r="AL63" t="s">
        <v>382</v>
      </c>
      <c r="AM63" t="s">
        <v>379</v>
      </c>
      <c r="AN63" t="s">
        <v>383</v>
      </c>
      <c r="AO63" t="s">
        <v>384</v>
      </c>
      <c r="AP63" t="s">
        <v>385</v>
      </c>
      <c r="BD63" s="19"/>
      <c r="BF63" s="43"/>
    </row>
    <row r="64" spans="1:58" ht="15.75" customHeight="1" thickBot="1">
      <c r="A64" s="5"/>
      <c r="B64" s="22" t="s">
        <v>386</v>
      </c>
      <c r="C64" s="1" t="str">
        <f>VLOOKUP(AG70,AG13:AR104,$AE$1+1,FALSE)</f>
        <v>1. Aufhängepunkt</v>
      </c>
      <c r="D64" s="61"/>
      <c r="E64" s="61"/>
      <c r="F64" s="62"/>
      <c r="G64" s="88" t="str">
        <f>IF(L58&gt;4500,VLOOKUP(AG79,AG11:AR104,$AE$1+1,FALSE),"")</f>
        <v>Aufhängepunkte, wenn</v>
      </c>
      <c r="H64" s="63"/>
      <c r="I64" s="63"/>
      <c r="J64" s="63" t="str">
        <f>IF(L58&gt;4500,"D&gt;4500","")</f>
        <v>D&gt;4500</v>
      </c>
      <c r="K64" s="63"/>
      <c r="L64" s="65"/>
      <c r="M64" s="22" t="s">
        <v>351</v>
      </c>
      <c r="N64" s="89"/>
      <c r="O64" s="90" t="e">
        <f>IF(P59&lt;1370,P59+160,IF(P59&lt;3050,P59+190,P59+210))</f>
        <v>#VALUE!</v>
      </c>
      <c r="P64" s="91" t="str">
        <f>IF(OR(K3="",K5="",K3=0,K5=0),"",O64)</f>
        <v/>
      </c>
      <c r="R64" s="125"/>
      <c r="S64" s="126"/>
      <c r="T64" s="126"/>
      <c r="U64" s="127"/>
      <c r="V64" s="131"/>
      <c r="W64" s="132"/>
      <c r="X64" s="132"/>
      <c r="Y64" s="132"/>
      <c r="Z64" s="132"/>
      <c r="AA64" s="132"/>
      <c r="AB64" s="133"/>
      <c r="AG64" t="str">
        <f t="shared" si="0"/>
        <v>Höhe Innenraum</v>
      </c>
      <c r="AH64" t="s">
        <v>387</v>
      </c>
      <c r="AI64" t="s">
        <v>388</v>
      </c>
      <c r="AJ64" t="s">
        <v>389</v>
      </c>
      <c r="AK64" t="s">
        <v>390</v>
      </c>
      <c r="AL64" t="s">
        <v>391</v>
      </c>
      <c r="AM64" t="s">
        <v>392</v>
      </c>
      <c r="AN64" t="s">
        <v>393</v>
      </c>
      <c r="AO64" t="s">
        <v>394</v>
      </c>
      <c r="AP64" t="s">
        <v>395</v>
      </c>
      <c r="BF64" s="43"/>
    </row>
    <row r="65" spans="1:98" ht="15.75" customHeight="1" thickBot="1">
      <c r="A65" s="5"/>
      <c r="B65" s="22" t="s">
        <v>396</v>
      </c>
      <c r="C65" s="1" t="str">
        <f>VLOOKUP(AG71,AG14:AR105,$AE$1+1,FALSE)</f>
        <v>2. Aufhängepunkt</v>
      </c>
      <c r="D65" s="61"/>
      <c r="E65" s="61"/>
      <c r="F65" s="62"/>
      <c r="G65" s="69" t="str">
        <f>IF(L58&gt;4500,"X","")</f>
        <v>X</v>
      </c>
      <c r="H65" s="61" t="str">
        <f>IF(L58&gt;4500,VLOOKUP(AG70,AG9:AR102,$AE$1+1,FALSE),"")</f>
        <v>1. Aufhängepunkt</v>
      </c>
      <c r="I65" s="1"/>
      <c r="J65" s="1"/>
      <c r="K65" s="92" t="str">
        <f>IF(L58&gt;4500,"H-HL+500","")</f>
        <v>H-HL+500</v>
      </c>
      <c r="L65" s="5" t="str">
        <f>IF(OR(K3="",K5="",K7=""),"",IF(L58&gt;4500,K5-P59+500,""))</f>
        <v/>
      </c>
      <c r="M65" s="93" t="s">
        <v>397</v>
      </c>
      <c r="N65" s="94"/>
      <c r="O65" s="95" t="s">
        <v>398</v>
      </c>
      <c r="P65" s="62"/>
      <c r="R65" s="52"/>
      <c r="V65" s="131"/>
      <c r="W65" s="132"/>
      <c r="X65" s="132"/>
      <c r="Y65" s="132"/>
      <c r="Z65" s="132"/>
      <c r="AA65" s="132"/>
      <c r="AB65" s="133"/>
      <c r="AG65" t="str">
        <f t="shared" si="0"/>
        <v>Freiraum über Sturz</v>
      </c>
      <c r="AH65" t="s">
        <v>399</v>
      </c>
      <c r="AI65" t="s">
        <v>400</v>
      </c>
      <c r="AJ65" t="s">
        <v>401</v>
      </c>
      <c r="AK65" t="s">
        <v>402</v>
      </c>
      <c r="AL65" t="s">
        <v>403</v>
      </c>
      <c r="AM65" t="s">
        <v>404</v>
      </c>
      <c r="AN65" t="s">
        <v>405</v>
      </c>
      <c r="AO65" t="s">
        <v>406</v>
      </c>
      <c r="AP65" t="s">
        <v>407</v>
      </c>
      <c r="BF65" s="43"/>
    </row>
    <row r="66" spans="1:98" ht="15.75" customHeight="1" thickBot="1">
      <c r="A66" s="5"/>
      <c r="B66" s="22" t="s">
        <v>408</v>
      </c>
      <c r="C66" s="1" t="str">
        <f>VLOOKUP(AG72,AG15:AR106,$AE$1+1,FALSE)</f>
        <v>3. Aufhängepunkt</v>
      </c>
      <c r="D66" s="61"/>
      <c r="E66" s="61"/>
      <c r="F66" s="62"/>
      <c r="G66" s="69" t="str">
        <f>IF(L58&gt;4500,"Y","")</f>
        <v>Y</v>
      </c>
      <c r="H66" s="61" t="str">
        <f>IF(L58&gt;4500,VLOOKUP(AG71,AG10:AR103,$AE$1+1,FALSE),"")</f>
        <v>2. Aufhängepunkt</v>
      </c>
      <c r="I66" s="61"/>
      <c r="J66" s="61"/>
      <c r="K66" s="74" t="str">
        <f>IF(L58&gt;4500,"(X/3)*2","")</f>
        <v>(X/3)*2</v>
      </c>
      <c r="L66" s="62" t="str">
        <f>IF(OR(K3="",K5="",K7=""),"",IF(L58&gt;4500,ROUNDDOWN((L65/3)*2,0),""))</f>
        <v/>
      </c>
      <c r="M66" s="93" t="s">
        <v>409</v>
      </c>
      <c r="N66" s="96"/>
      <c r="O66" s="95" t="s">
        <v>410</v>
      </c>
      <c r="P66" s="5"/>
      <c r="R66" s="52"/>
      <c r="V66" s="131"/>
      <c r="W66" s="132"/>
      <c r="X66" s="132"/>
      <c r="Y66" s="132"/>
      <c r="Z66" s="132"/>
      <c r="AA66" s="132"/>
      <c r="AB66" s="133"/>
      <c r="AG66" t="str">
        <f t="shared" si="0"/>
        <v>Höhe über Montagefläche Loch</v>
      </c>
      <c r="AH66" t="s">
        <v>411</v>
      </c>
      <c r="AI66" t="s">
        <v>412</v>
      </c>
      <c r="AJ66" t="s">
        <v>413</v>
      </c>
      <c r="AK66" t="s">
        <v>414</v>
      </c>
      <c r="AL66" t="s">
        <v>415</v>
      </c>
      <c r="AM66" t="s">
        <v>416</v>
      </c>
      <c r="AN66" t="s">
        <v>417</v>
      </c>
      <c r="AO66" t="s">
        <v>418</v>
      </c>
      <c r="AP66" t="s">
        <v>419</v>
      </c>
      <c r="BF66" s="43"/>
    </row>
    <row r="67" spans="1:98" ht="15.75" customHeight="1" thickBot="1">
      <c r="A67" s="5"/>
      <c r="B67" s="71"/>
      <c r="C67" s="61"/>
      <c r="D67" s="61"/>
      <c r="E67" s="61"/>
      <c r="F67" s="5"/>
      <c r="G67" s="69" t="str">
        <f>IF(L58&gt;4500,"Y2","")</f>
        <v>Y2</v>
      </c>
      <c r="H67" s="61" t="str">
        <f>IF(L58&gt;4500,VLOOKUP(AG72,AG11:AR104,$AE$1+1,FALSE),"")</f>
        <v>3. Aufhängepunkt</v>
      </c>
      <c r="I67" s="61"/>
      <c r="J67" s="61"/>
      <c r="K67" s="92" t="str">
        <f>IF(L58&gt;4500,"X/3","")</f>
        <v>X/3</v>
      </c>
      <c r="L67" s="79" t="str">
        <f>IF(OR(K3="",K5="",K7=""),"",IF(L58&gt;4500,ROUNDDOWN(L65/3,0),""))</f>
        <v/>
      </c>
      <c r="M67" s="93" t="s">
        <v>420</v>
      </c>
      <c r="N67" s="61"/>
      <c r="O67" s="95" t="s">
        <v>421</v>
      </c>
      <c r="P67" s="62"/>
      <c r="R67" s="52"/>
      <c r="V67" s="134"/>
      <c r="W67" s="135"/>
      <c r="X67" s="135"/>
      <c r="Y67" s="135"/>
      <c r="Z67" s="135"/>
      <c r="AA67" s="135"/>
      <c r="AB67" s="136"/>
      <c r="AG67" t="str">
        <f t="shared" ref="AG67:AG123" si="2">VLOOKUP(AH67,AH67:AR161,$AE$1,FALSE)</f>
        <v>Freiraum LINKS</v>
      </c>
      <c r="AH67" t="s">
        <v>422</v>
      </c>
      <c r="AI67" t="s">
        <v>423</v>
      </c>
      <c r="AJ67" t="s">
        <v>424</v>
      </c>
      <c r="AK67" t="s">
        <v>425</v>
      </c>
      <c r="AL67" t="s">
        <v>426</v>
      </c>
      <c r="AM67" t="s">
        <v>427</v>
      </c>
      <c r="AN67" t="s">
        <v>428</v>
      </c>
      <c r="AO67" t="s">
        <v>429</v>
      </c>
      <c r="AP67" t="s">
        <v>430</v>
      </c>
      <c r="BF67" s="43"/>
    </row>
    <row r="68" spans="1:98" ht="15.75" thickBot="1">
      <c r="A68" s="5"/>
      <c r="B68" s="97"/>
      <c r="D68" s="1"/>
      <c r="E68" s="1"/>
      <c r="F68" s="62"/>
      <c r="M68" s="98"/>
      <c r="N68" s="61"/>
      <c r="O68" s="61"/>
      <c r="P68" s="62"/>
      <c r="R68" s="52"/>
      <c r="V68" s="111" t="str">
        <f>AG12</f>
        <v xml:space="preserve"> HÖHERGEFÜHRTER BESCHLAG (HL)</v>
      </c>
      <c r="W68" s="112"/>
      <c r="X68" s="112"/>
      <c r="Y68" s="113"/>
      <c r="Z68" s="69" t="str">
        <f>VLOOKUP(AG95,AG2:AR96,$AE$1+1,FALSE)</f>
        <v>Kode:</v>
      </c>
      <c r="AA68" s="117" t="str">
        <f>VLOOKUP(AG96,AG2:AR96,$AE$1+1,FALSE)</f>
        <v>Version:</v>
      </c>
      <c r="AB68" s="118"/>
      <c r="AG68" t="str">
        <f t="shared" si="2"/>
        <v>Freiraum RECHTS</v>
      </c>
      <c r="AH68" t="s">
        <v>431</v>
      </c>
      <c r="AI68" t="s">
        <v>432</v>
      </c>
      <c r="AJ68" t="s">
        <v>433</v>
      </c>
      <c r="AK68" t="s">
        <v>434</v>
      </c>
      <c r="AL68" t="s">
        <v>435</v>
      </c>
      <c r="AM68" t="s">
        <v>436</v>
      </c>
      <c r="AN68" t="s">
        <v>437</v>
      </c>
      <c r="AO68" t="s">
        <v>438</v>
      </c>
      <c r="AP68" t="s">
        <v>439</v>
      </c>
      <c r="BF68" s="43"/>
    </row>
    <row r="69" spans="1:98" ht="15.75" thickBot="1">
      <c r="B69" s="71"/>
      <c r="C69" s="61"/>
      <c r="D69" s="61"/>
      <c r="E69" s="61"/>
      <c r="F69" s="62"/>
      <c r="G69" s="60"/>
      <c r="H69" s="61"/>
      <c r="I69" s="61"/>
      <c r="J69" s="61"/>
      <c r="K69" s="61"/>
      <c r="L69" s="62"/>
      <c r="M69" s="98"/>
      <c r="N69" s="1"/>
      <c r="O69" s="1"/>
      <c r="P69" s="79"/>
      <c r="Q69" s="1"/>
      <c r="R69" s="99"/>
      <c r="S69" s="1"/>
      <c r="T69" s="1"/>
      <c r="U69" s="1"/>
      <c r="V69" s="114"/>
      <c r="W69" s="115"/>
      <c r="X69" s="115"/>
      <c r="Y69" s="116"/>
      <c r="Z69" s="100">
        <v>20</v>
      </c>
      <c r="AA69" s="119">
        <v>2414</v>
      </c>
      <c r="AB69" s="120"/>
      <c r="AG69" t="str">
        <f t="shared" si="2"/>
        <v>Einbautiefe</v>
      </c>
      <c r="AH69" t="s">
        <v>440</v>
      </c>
      <c r="AI69" t="s">
        <v>441</v>
      </c>
      <c r="AJ69" t="s">
        <v>442</v>
      </c>
      <c r="AK69" t="s">
        <v>443</v>
      </c>
      <c r="AL69" t="s">
        <v>444</v>
      </c>
      <c r="AM69" t="s">
        <v>445</v>
      </c>
      <c r="AN69" t="s">
        <v>446</v>
      </c>
      <c r="AO69" t="s">
        <v>447</v>
      </c>
      <c r="AP69" t="s">
        <v>448</v>
      </c>
      <c r="BF69" s="43"/>
    </row>
    <row r="70" spans="1:98">
      <c r="V70" s="4"/>
      <c r="W70" s="4"/>
      <c r="X70" s="4"/>
      <c r="Y70" s="4"/>
      <c r="AA70" s="101"/>
      <c r="AB70" s="101"/>
      <c r="AG70" t="str">
        <f t="shared" si="2"/>
        <v>1. Aufhängepunkt</v>
      </c>
      <c r="AH70" t="s">
        <v>449</v>
      </c>
      <c r="AI70" t="s">
        <v>450</v>
      </c>
      <c r="AJ70" t="s">
        <v>451</v>
      </c>
      <c r="AK70" t="s">
        <v>452</v>
      </c>
      <c r="AL70" t="s">
        <v>453</v>
      </c>
      <c r="AM70" t="s">
        <v>454</v>
      </c>
      <c r="AN70" t="s">
        <v>455</v>
      </c>
      <c r="AO70" t="s">
        <v>456</v>
      </c>
      <c r="AP70" t="s">
        <v>457</v>
      </c>
      <c r="BF70" s="43"/>
    </row>
    <row r="71" spans="1:98">
      <c r="V71" s="4"/>
      <c r="W71" s="4"/>
      <c r="X71" s="4"/>
      <c r="Y71" s="4"/>
      <c r="AG71" t="str">
        <f t="shared" si="2"/>
        <v>2. Aufhängepunkt</v>
      </c>
      <c r="AH71" t="s">
        <v>458</v>
      </c>
      <c r="AI71" t="s">
        <v>459</v>
      </c>
      <c r="AJ71" t="s">
        <v>460</v>
      </c>
      <c r="AK71" t="s">
        <v>461</v>
      </c>
      <c r="AL71" t="s">
        <v>462</v>
      </c>
      <c r="AM71" t="s">
        <v>463</v>
      </c>
      <c r="AN71" t="s">
        <v>464</v>
      </c>
      <c r="AO71" t="s">
        <v>465</v>
      </c>
      <c r="AP71" t="s">
        <v>466</v>
      </c>
      <c r="BF71" s="43"/>
    </row>
    <row r="72" spans="1:98">
      <c r="V72" s="4"/>
      <c r="W72" s="4"/>
      <c r="X72" s="4"/>
      <c r="Y72" s="4"/>
      <c r="AG72" t="str">
        <f t="shared" si="2"/>
        <v>3. Aufhängepunkt</v>
      </c>
      <c r="AH72" t="s">
        <v>467</v>
      </c>
      <c r="AI72" t="s">
        <v>468</v>
      </c>
      <c r="AJ72" t="s">
        <v>469</v>
      </c>
      <c r="AK72" t="s">
        <v>470</v>
      </c>
      <c r="AL72" t="s">
        <v>471</v>
      </c>
      <c r="AM72" t="s">
        <v>472</v>
      </c>
      <c r="AN72" t="s">
        <v>473</v>
      </c>
      <c r="AO72" t="s">
        <v>474</v>
      </c>
      <c r="AP72" t="s">
        <v>475</v>
      </c>
      <c r="BF72" s="43"/>
    </row>
    <row r="73" spans="1:98">
      <c r="AG73" t="str">
        <f t="shared" si="2"/>
        <v>Freiplatz auf der Mountageplatz</v>
      </c>
      <c r="AH73" s="23" t="s">
        <v>399</v>
      </c>
      <c r="AI73" s="23" t="s">
        <v>476</v>
      </c>
      <c r="AJ73" s="23" t="s">
        <v>477</v>
      </c>
      <c r="AK73" s="23" t="s">
        <v>478</v>
      </c>
      <c r="AL73" s="23" t="s">
        <v>479</v>
      </c>
      <c r="AM73" s="23" t="s">
        <v>480</v>
      </c>
      <c r="AN73" s="23" t="s">
        <v>481</v>
      </c>
      <c r="AO73" s="23" t="s">
        <v>482</v>
      </c>
      <c r="AP73" s="23" t="s">
        <v>483</v>
      </c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4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</row>
    <row r="74" spans="1:98">
      <c r="G74" s="4"/>
      <c r="AG74" t="str">
        <f t="shared" si="2"/>
        <v>Handbedienung</v>
      </c>
      <c r="AH74" t="s">
        <v>484</v>
      </c>
      <c r="AI74" t="s">
        <v>485</v>
      </c>
      <c r="AJ74" t="s">
        <v>486</v>
      </c>
      <c r="AK74" t="s">
        <v>487</v>
      </c>
      <c r="AL74" t="s">
        <v>488</v>
      </c>
      <c r="AM74" t="s">
        <v>489</v>
      </c>
      <c r="AN74" t="s">
        <v>490</v>
      </c>
      <c r="AO74" t="s">
        <v>491</v>
      </c>
      <c r="AP74" t="s">
        <v>492</v>
      </c>
      <c r="BF74" s="43"/>
    </row>
    <row r="75" spans="1:98">
      <c r="AG75" t="str">
        <f t="shared" si="2"/>
        <v>Beide Seiten</v>
      </c>
      <c r="AH75" t="s">
        <v>493</v>
      </c>
      <c r="AI75" t="s">
        <v>494</v>
      </c>
      <c r="AJ75" t="s">
        <v>495</v>
      </c>
      <c r="AK75" t="s">
        <v>496</v>
      </c>
      <c r="AL75" t="s">
        <v>497</v>
      </c>
      <c r="AM75" t="s">
        <v>498</v>
      </c>
      <c r="AN75" t="s">
        <v>499</v>
      </c>
      <c r="AO75" t="s">
        <v>500</v>
      </c>
      <c r="AP75" t="s">
        <v>501</v>
      </c>
      <c r="BF75" s="43"/>
    </row>
    <row r="76" spans="1:98">
      <c r="AG76" t="str">
        <f t="shared" si="2"/>
        <v>Elektrisch- oder Haspelkettenbedient</v>
      </c>
      <c r="AH76" t="s">
        <v>502</v>
      </c>
      <c r="AI76" t="s">
        <v>503</v>
      </c>
      <c r="AJ76" t="s">
        <v>504</v>
      </c>
      <c r="AK76" t="s">
        <v>505</v>
      </c>
      <c r="AL76" t="s">
        <v>506</v>
      </c>
      <c r="AM76" t="s">
        <v>507</v>
      </c>
      <c r="AN76" t="s">
        <v>508</v>
      </c>
      <c r="AO76" t="s">
        <v>509</v>
      </c>
      <c r="AP76" t="s">
        <v>510</v>
      </c>
      <c r="BF76" s="43"/>
    </row>
    <row r="77" spans="1:98">
      <c r="AG77" t="str">
        <f t="shared" si="2"/>
        <v>Motor-oder Kettenseite</v>
      </c>
      <c r="AH77" t="s">
        <v>511</v>
      </c>
      <c r="AI77" t="s">
        <v>512</v>
      </c>
      <c r="AJ77" t="s">
        <v>513</v>
      </c>
      <c r="AK77" t="s">
        <v>514</v>
      </c>
      <c r="AL77" t="s">
        <v>515</v>
      </c>
      <c r="AM77" t="s">
        <v>516</v>
      </c>
      <c r="AN77" t="s">
        <v>517</v>
      </c>
      <c r="AO77" t="s">
        <v>518</v>
      </c>
      <c r="AP77" t="s">
        <v>519</v>
      </c>
    </row>
    <row r="78" spans="1:98">
      <c r="AG78" t="str">
        <f t="shared" si="2"/>
        <v>Einbautiefe</v>
      </c>
      <c r="AH78" t="s">
        <v>440</v>
      </c>
      <c r="AI78" t="s">
        <v>441</v>
      </c>
      <c r="AJ78" t="s">
        <v>442</v>
      </c>
      <c r="AK78" t="s">
        <v>520</v>
      </c>
      <c r="AL78" t="s">
        <v>444</v>
      </c>
      <c r="AM78" t="s">
        <v>445</v>
      </c>
      <c r="AN78" t="s">
        <v>446</v>
      </c>
      <c r="AO78" t="s">
        <v>521</v>
      </c>
      <c r="AP78" t="s">
        <v>448</v>
      </c>
    </row>
    <row r="79" spans="1:98">
      <c r="AG79" t="str">
        <f t="shared" si="2"/>
        <v>Aufhängepunkte, wenn</v>
      </c>
      <c r="AH79" t="s">
        <v>522</v>
      </c>
      <c r="AI79" t="s">
        <v>523</v>
      </c>
      <c r="AJ79" t="s">
        <v>524</v>
      </c>
      <c r="AK79" t="s">
        <v>525</v>
      </c>
      <c r="AL79" t="s">
        <v>526</v>
      </c>
      <c r="AM79" t="s">
        <v>527</v>
      </c>
      <c r="AN79" t="s">
        <v>528</v>
      </c>
      <c r="AO79" t="s">
        <v>529</v>
      </c>
      <c r="AP79" t="s">
        <v>530</v>
      </c>
    </row>
    <row r="80" spans="1:98">
      <c r="AG80" t="str">
        <f t="shared" si="2"/>
        <v>Aufhängepunkte</v>
      </c>
      <c r="AH80" t="s">
        <v>531</v>
      </c>
      <c r="AI80" t="s">
        <v>532</v>
      </c>
      <c r="AJ80" t="s">
        <v>533</v>
      </c>
      <c r="AK80" t="s">
        <v>534</v>
      </c>
      <c r="AL80" t="s">
        <v>535</v>
      </c>
      <c r="AM80" t="s">
        <v>536</v>
      </c>
      <c r="AN80" t="s">
        <v>537</v>
      </c>
      <c r="AO80" t="s">
        <v>538</v>
      </c>
      <c r="AP80" t="s">
        <v>539</v>
      </c>
    </row>
    <row r="81" spans="16:42">
      <c r="AG81" t="str">
        <f t="shared" si="2"/>
        <v>Freiraum über Sturz</v>
      </c>
      <c r="AH81" t="s">
        <v>399</v>
      </c>
      <c r="AI81" t="s">
        <v>400</v>
      </c>
      <c r="AJ81" t="s">
        <v>401</v>
      </c>
      <c r="AK81" t="s">
        <v>540</v>
      </c>
      <c r="AL81" t="s">
        <v>403</v>
      </c>
      <c r="AM81" t="s">
        <v>404</v>
      </c>
      <c r="AN81" t="s">
        <v>541</v>
      </c>
      <c r="AO81" t="s">
        <v>542</v>
      </c>
      <c r="AP81" t="s">
        <v>407</v>
      </c>
    </row>
    <row r="82" spans="16:42">
      <c r="P82" s="102"/>
      <c r="Q82" s="102"/>
      <c r="AG82" t="str">
        <f t="shared" si="2"/>
        <v>Mitte Achse zum Sturz</v>
      </c>
      <c r="AH82" t="s">
        <v>543</v>
      </c>
      <c r="AI82" t="s">
        <v>544</v>
      </c>
      <c r="AJ82" t="s">
        <v>545</v>
      </c>
      <c r="AK82" t="s">
        <v>546</v>
      </c>
      <c r="AL82" t="s">
        <v>547</v>
      </c>
      <c r="AM82" t="s">
        <v>548</v>
      </c>
      <c r="AN82" t="s">
        <v>549</v>
      </c>
      <c r="AO82" t="s">
        <v>550</v>
      </c>
      <c r="AP82" t="s">
        <v>551</v>
      </c>
    </row>
    <row r="85" spans="16:42">
      <c r="AG85" t="str">
        <f t="shared" si="2"/>
        <v>Aufgestellt:</v>
      </c>
      <c r="AH85" t="s">
        <v>552</v>
      </c>
      <c r="AI85" t="s">
        <v>553</v>
      </c>
      <c r="AJ85" t="s">
        <v>554</v>
      </c>
      <c r="AK85" t="s">
        <v>555</v>
      </c>
      <c r="AL85" t="s">
        <v>556</v>
      </c>
      <c r="AM85" t="s">
        <v>557</v>
      </c>
      <c r="AN85" t="s">
        <v>558</v>
      </c>
      <c r="AO85" t="s">
        <v>559</v>
      </c>
      <c r="AP85" t="s">
        <v>560</v>
      </c>
    </row>
    <row r="86" spans="16:42">
      <c r="AG86" t="str">
        <f t="shared" si="2"/>
        <v>Bereinigt:</v>
      </c>
      <c r="AH86" t="s">
        <v>561</v>
      </c>
      <c r="AI86" t="s">
        <v>562</v>
      </c>
      <c r="AJ86" t="s">
        <v>563</v>
      </c>
      <c r="AK86" t="s">
        <v>564</v>
      </c>
      <c r="AL86" t="s">
        <v>565</v>
      </c>
      <c r="AM86" t="s">
        <v>566</v>
      </c>
      <c r="AN86" t="s">
        <v>567</v>
      </c>
      <c r="AO86" t="s">
        <v>568</v>
      </c>
      <c r="AP86" t="s">
        <v>569</v>
      </c>
    </row>
    <row r="87" spans="16:42">
      <c r="AG87" t="str">
        <f t="shared" si="2"/>
        <v>Bereinigt am:</v>
      </c>
      <c r="AH87" t="s">
        <v>570</v>
      </c>
      <c r="AI87" t="s">
        <v>571</v>
      </c>
      <c r="AJ87" t="s">
        <v>572</v>
      </c>
      <c r="AK87" t="s">
        <v>573</v>
      </c>
      <c r="AL87" t="s">
        <v>574</v>
      </c>
      <c r="AM87" t="s">
        <v>575</v>
      </c>
      <c r="AN87" t="s">
        <v>576</v>
      </c>
      <c r="AO87" t="s">
        <v>577</v>
      </c>
      <c r="AP87" t="s">
        <v>578</v>
      </c>
    </row>
    <row r="88" spans="16:42">
      <c r="AG88" t="str">
        <f t="shared" si="2"/>
        <v>Dateiname:</v>
      </c>
      <c r="AH88" t="s">
        <v>579</v>
      </c>
      <c r="AI88" t="s">
        <v>580</v>
      </c>
      <c r="AJ88" t="s">
        <v>581</v>
      </c>
      <c r="AK88" t="s">
        <v>582</v>
      </c>
      <c r="AL88" t="s">
        <v>583</v>
      </c>
      <c r="AM88" t="s">
        <v>584</v>
      </c>
      <c r="AN88" t="s">
        <v>585</v>
      </c>
      <c r="AO88" t="s">
        <v>586</v>
      </c>
      <c r="AP88" t="s">
        <v>587</v>
      </c>
    </row>
    <row r="89" spans="16:42">
      <c r="AG89" t="str">
        <f t="shared" si="2"/>
        <v>Datum:</v>
      </c>
      <c r="AH89" t="s">
        <v>588</v>
      </c>
      <c r="AI89" t="s">
        <v>589</v>
      </c>
      <c r="AJ89" t="s">
        <v>588</v>
      </c>
      <c r="AK89" t="s">
        <v>590</v>
      </c>
      <c r="AL89" t="s">
        <v>591</v>
      </c>
      <c r="AM89" t="s">
        <v>588</v>
      </c>
      <c r="AN89" t="s">
        <v>592</v>
      </c>
      <c r="AO89" t="s">
        <v>593</v>
      </c>
      <c r="AP89" t="s">
        <v>594</v>
      </c>
    </row>
    <row r="90" spans="16:42">
      <c r="AG90" t="str">
        <f t="shared" si="2"/>
        <v>Massst.:</v>
      </c>
      <c r="AH90" t="s">
        <v>595</v>
      </c>
      <c r="AI90" t="s">
        <v>596</v>
      </c>
      <c r="AJ90" t="s">
        <v>597</v>
      </c>
      <c r="AK90" t="s">
        <v>598</v>
      </c>
      <c r="AL90" t="s">
        <v>599</v>
      </c>
      <c r="AM90" t="s">
        <v>600</v>
      </c>
      <c r="AN90" t="s">
        <v>601</v>
      </c>
      <c r="AO90" t="s">
        <v>602</v>
      </c>
      <c r="AP90" t="s">
        <v>603</v>
      </c>
    </row>
    <row r="91" spans="16:42">
      <c r="AG91" t="str">
        <f t="shared" si="2"/>
        <v>Format:</v>
      </c>
      <c r="AH91" t="s">
        <v>604</v>
      </c>
      <c r="AI91" t="s">
        <v>605</v>
      </c>
      <c r="AJ91" t="s">
        <v>606</v>
      </c>
      <c r="AK91" t="s">
        <v>606</v>
      </c>
      <c r="AL91" t="s">
        <v>607</v>
      </c>
      <c r="AM91" t="s">
        <v>605</v>
      </c>
      <c r="AN91" t="s">
        <v>608</v>
      </c>
      <c r="AO91" t="s">
        <v>609</v>
      </c>
      <c r="AP91" t="s">
        <v>610</v>
      </c>
    </row>
    <row r="92" spans="16:42">
      <c r="AG92" t="str">
        <f t="shared" si="2"/>
        <v>BAUBEREITSCHAFT</v>
      </c>
      <c r="AH92" t="s">
        <v>611</v>
      </c>
      <c r="AI92" t="s">
        <v>612</v>
      </c>
      <c r="AJ92" t="s">
        <v>613</v>
      </c>
      <c r="AK92" t="s">
        <v>614</v>
      </c>
      <c r="AL92" t="s">
        <v>615</v>
      </c>
      <c r="AM92" t="s">
        <v>616</v>
      </c>
      <c r="AN92" t="s">
        <v>617</v>
      </c>
      <c r="AO92" t="s">
        <v>618</v>
      </c>
      <c r="AP92" t="s">
        <v>619</v>
      </c>
    </row>
    <row r="93" spans="16:42">
      <c r="AG93" t="str">
        <f t="shared" si="2"/>
        <v xml:space="preserve"> Federn oberhalb des Sturzes </v>
      </c>
      <c r="AH93" t="s">
        <v>620</v>
      </c>
      <c r="AI93" t="s">
        <v>621</v>
      </c>
      <c r="AJ93" t="s">
        <v>622</v>
      </c>
      <c r="AK93" t="s">
        <v>623</v>
      </c>
      <c r="AL93" t="s">
        <v>96</v>
      </c>
      <c r="AM93" t="s">
        <v>624</v>
      </c>
      <c r="AN93" t="s">
        <v>625</v>
      </c>
      <c r="AO93" t="s">
        <v>99</v>
      </c>
      <c r="AP93" t="s">
        <v>100</v>
      </c>
    </row>
    <row r="94" spans="16:42">
      <c r="AG94" t="str">
        <f t="shared" si="2"/>
        <v>VERTIKALER BESCHLAG (VL-T)</v>
      </c>
      <c r="AH94" t="s">
        <v>626</v>
      </c>
      <c r="AI94" t="s">
        <v>627</v>
      </c>
      <c r="AJ94" t="s">
        <v>628</v>
      </c>
      <c r="AK94" t="s">
        <v>629</v>
      </c>
      <c r="AL94" t="s">
        <v>630</v>
      </c>
      <c r="AM94" t="s">
        <v>631</v>
      </c>
    </row>
    <row r="95" spans="16:42">
      <c r="AG95" t="str">
        <f t="shared" si="2"/>
        <v>Kode:</v>
      </c>
      <c r="AH95" t="s">
        <v>632</v>
      </c>
      <c r="AI95" t="s">
        <v>633</v>
      </c>
      <c r="AJ95" t="s">
        <v>634</v>
      </c>
      <c r="AK95" t="s">
        <v>635</v>
      </c>
      <c r="AL95" t="s">
        <v>636</v>
      </c>
      <c r="AM95" t="s">
        <v>637</v>
      </c>
      <c r="AN95" t="s">
        <v>638</v>
      </c>
      <c r="AO95" t="s">
        <v>639</v>
      </c>
      <c r="AP95" t="s">
        <v>640</v>
      </c>
    </row>
    <row r="96" spans="16:42">
      <c r="AG96" t="str">
        <f t="shared" si="2"/>
        <v>Version:</v>
      </c>
      <c r="AH96" t="s">
        <v>641</v>
      </c>
      <c r="AI96" t="s">
        <v>642</v>
      </c>
      <c r="AJ96" t="s">
        <v>642</v>
      </c>
      <c r="AK96" t="s">
        <v>643</v>
      </c>
      <c r="AL96" t="s">
        <v>644</v>
      </c>
      <c r="AM96" t="s">
        <v>645</v>
      </c>
      <c r="AN96" t="s">
        <v>646</v>
      </c>
      <c r="AO96" t="s">
        <v>647</v>
      </c>
      <c r="AP96" t="s">
        <v>648</v>
      </c>
    </row>
    <row r="97" spans="33:42">
      <c r="AG97" t="str">
        <f t="shared" si="2"/>
        <v>NICHT ERFORDELICH</v>
      </c>
      <c r="AH97" t="s">
        <v>649</v>
      </c>
      <c r="AI97" t="s">
        <v>650</v>
      </c>
      <c r="AJ97" t="s">
        <v>651</v>
      </c>
      <c r="AK97" t="s">
        <v>652</v>
      </c>
      <c r="AL97" t="s">
        <v>653</v>
      </c>
      <c r="AM97" t="s">
        <v>654</v>
      </c>
      <c r="AN97" t="s">
        <v>655</v>
      </c>
      <c r="AO97" t="s">
        <v>656</v>
      </c>
      <c r="AP97" t="s">
        <v>657</v>
      </c>
    </row>
    <row r="99" spans="33:42">
      <c r="AG99" t="str">
        <f t="shared" si="2"/>
        <v>Fülen Sie bitte markierte Felder!</v>
      </c>
      <c r="AH99" t="s">
        <v>658</v>
      </c>
      <c r="AI99" t="s">
        <v>659</v>
      </c>
      <c r="AJ99" t="s">
        <v>660</v>
      </c>
      <c r="AK99" t="s">
        <v>661</v>
      </c>
      <c r="AL99" t="s">
        <v>662</v>
      </c>
      <c r="AM99" t="s">
        <v>663</v>
      </c>
      <c r="AN99" t="s">
        <v>664</v>
      </c>
      <c r="AO99" t="s">
        <v>665</v>
      </c>
      <c r="AP99" t="s">
        <v>666</v>
      </c>
    </row>
    <row r="101" spans="33:42">
      <c r="AG101" t="str">
        <f t="shared" si="2"/>
        <v>Bedienung</v>
      </c>
      <c r="AH101" t="s">
        <v>667</v>
      </c>
      <c r="AI101" t="s">
        <v>668</v>
      </c>
      <c r="AJ101" t="s">
        <v>669</v>
      </c>
      <c r="AK101" t="s">
        <v>670</v>
      </c>
      <c r="AL101" t="s">
        <v>671</v>
      </c>
      <c r="AM101" t="s">
        <v>672</v>
      </c>
      <c r="AN101" t="s">
        <v>673</v>
      </c>
      <c r="AO101" t="s">
        <v>674</v>
      </c>
      <c r="AP101" t="s">
        <v>675</v>
      </c>
    </row>
    <row r="102" spans="33:42">
      <c r="AG102" t="str">
        <f t="shared" si="2"/>
        <v>hand</v>
      </c>
      <c r="AH102" t="s">
        <v>676</v>
      </c>
      <c r="AI102" t="s">
        <v>677</v>
      </c>
      <c r="AJ102" t="s">
        <v>678</v>
      </c>
      <c r="AK102" t="s">
        <v>679</v>
      </c>
      <c r="AL102" t="s">
        <v>680</v>
      </c>
      <c r="AM102" t="s">
        <v>678</v>
      </c>
      <c r="AN102" t="s">
        <v>681</v>
      </c>
      <c r="AO102" t="s">
        <v>682</v>
      </c>
      <c r="AP102" t="s">
        <v>683</v>
      </c>
    </row>
    <row r="103" spans="33:42" ht="22.5" customHeight="1">
      <c r="AG103" t="str">
        <f t="shared" si="2"/>
        <v>elektrisch</v>
      </c>
      <c r="AH103" t="s">
        <v>684</v>
      </c>
      <c r="AI103" t="s">
        <v>685</v>
      </c>
      <c r="AJ103" t="s">
        <v>686</v>
      </c>
      <c r="AK103" t="s">
        <v>687</v>
      </c>
      <c r="AL103" t="s">
        <v>688</v>
      </c>
      <c r="AM103" t="s">
        <v>686</v>
      </c>
      <c r="AN103" t="s">
        <v>689</v>
      </c>
      <c r="AO103" t="s">
        <v>690</v>
      </c>
      <c r="AP103" t="s">
        <v>510</v>
      </c>
    </row>
    <row r="104" spans="33:42" ht="30">
      <c r="AG104" t="str">
        <f t="shared" si="2"/>
        <v>Haspelkette - links</v>
      </c>
      <c r="AH104" t="s">
        <v>691</v>
      </c>
      <c r="AI104" t="s">
        <v>692</v>
      </c>
      <c r="AJ104" t="s">
        <v>693</v>
      </c>
      <c r="AK104" t="s">
        <v>694</v>
      </c>
      <c r="AL104" t="s">
        <v>695</v>
      </c>
      <c r="AM104" t="s">
        <v>696</v>
      </c>
      <c r="AN104" t="s">
        <v>697</v>
      </c>
      <c r="AO104" t="s">
        <v>698</v>
      </c>
      <c r="AP104" s="103" t="s">
        <v>699</v>
      </c>
    </row>
    <row r="105" spans="33:42">
      <c r="AG105" t="str">
        <f>VLOOKUP(AH105,AH105:AR199,$AE$1,FALSE)</f>
        <v>Haspelkette - rechts</v>
      </c>
      <c r="AH105" t="s">
        <v>700</v>
      </c>
      <c r="AI105" t="s">
        <v>701</v>
      </c>
      <c r="AJ105" t="s">
        <v>702</v>
      </c>
      <c r="AK105" s="104" t="s">
        <v>703</v>
      </c>
      <c r="AL105" t="s">
        <v>704</v>
      </c>
      <c r="AM105" t="s">
        <v>705</v>
      </c>
      <c r="AN105" t="s">
        <v>706</v>
      </c>
      <c r="AO105" t="s">
        <v>707</v>
      </c>
      <c r="AP105" t="s">
        <v>708</v>
      </c>
    </row>
    <row r="106" spans="33:42">
      <c r="AG106" t="str">
        <f t="shared" si="2"/>
        <v>Antriebsposition</v>
      </c>
      <c r="AH106" t="s">
        <v>709</v>
      </c>
      <c r="AI106" t="s">
        <v>710</v>
      </c>
      <c r="AJ106" t="s">
        <v>711</v>
      </c>
      <c r="AK106" t="s">
        <v>712</v>
      </c>
      <c r="AL106" t="s">
        <v>713</v>
      </c>
      <c r="AM106" t="s">
        <v>714</v>
      </c>
      <c r="AN106" t="s">
        <v>715</v>
      </c>
      <c r="AO106" t="s">
        <v>716</v>
      </c>
      <c r="AP106" t="s">
        <v>717</v>
      </c>
    </row>
    <row r="107" spans="33:42">
      <c r="AG107" t="str">
        <f t="shared" si="2"/>
        <v>Antrieb - links</v>
      </c>
      <c r="AH107" t="s">
        <v>718</v>
      </c>
      <c r="AI107" t="s">
        <v>719</v>
      </c>
      <c r="AJ107" t="s">
        <v>720</v>
      </c>
      <c r="AK107" t="s">
        <v>721</v>
      </c>
      <c r="AL107" t="s">
        <v>722</v>
      </c>
      <c r="AM107" t="s">
        <v>723</v>
      </c>
      <c r="AN107" t="s">
        <v>724</v>
      </c>
      <c r="AO107" t="s">
        <v>725</v>
      </c>
      <c r="AP107" t="s">
        <v>726</v>
      </c>
    </row>
    <row r="108" spans="33:42">
      <c r="AG108" t="str">
        <f t="shared" si="2"/>
        <v>Antrieb - rechts</v>
      </c>
      <c r="AH108" t="s">
        <v>727</v>
      </c>
      <c r="AI108" t="s">
        <v>728</v>
      </c>
      <c r="AJ108" t="s">
        <v>729</v>
      </c>
      <c r="AK108" t="s">
        <v>730</v>
      </c>
      <c r="AL108" t="s">
        <v>731</v>
      </c>
      <c r="AM108" t="s">
        <v>732</v>
      </c>
      <c r="AN108" t="s">
        <v>733</v>
      </c>
      <c r="AO108" t="s">
        <v>734</v>
      </c>
      <c r="AP108" t="s">
        <v>735</v>
      </c>
    </row>
    <row r="110" spans="33:42">
      <c r="AG110" t="str">
        <f t="shared" si="2"/>
        <v>Extra Aufhängung Federpaket</v>
      </c>
      <c r="AH110" t="s">
        <v>736</v>
      </c>
      <c r="AI110" t="s">
        <v>737</v>
      </c>
      <c r="AJ110" t="s">
        <v>738</v>
      </c>
      <c r="AK110" t="s">
        <v>739</v>
      </c>
      <c r="AL110" t="s">
        <v>740</v>
      </c>
      <c r="AM110" t="s">
        <v>741</v>
      </c>
    </row>
    <row r="111" spans="33:42">
      <c r="AG111" t="str">
        <f t="shared" si="2"/>
        <v>Wenn W&lt; 2000 - BAUS-1 Feder (SPR-1)</v>
      </c>
      <c r="AH111" t="s">
        <v>742</v>
      </c>
      <c r="AI111" t="s">
        <v>743</v>
      </c>
      <c r="AJ111" t="s">
        <v>744</v>
      </c>
      <c r="AK111" t="s">
        <v>745</v>
      </c>
      <c r="AL111" t="s">
        <v>746</v>
      </c>
      <c r="AM111" t="s">
        <v>747</v>
      </c>
    </row>
    <row r="112" spans="33:42">
      <c r="AG112" t="str">
        <f t="shared" si="2"/>
        <v>Wenn 2000&gt;=W&lt;6000- BAUS-2 Federn (SPR-2)</v>
      </c>
      <c r="AH112" t="s">
        <v>748</v>
      </c>
      <c r="AI112" t="s">
        <v>749</v>
      </c>
      <c r="AJ112" t="s">
        <v>750</v>
      </c>
      <c r="AK112" t="s">
        <v>751</v>
      </c>
      <c r="AL112" t="s">
        <v>752</v>
      </c>
      <c r="AM112" t="s">
        <v>753</v>
      </c>
    </row>
    <row r="113" spans="33:42">
      <c r="AG113" t="str">
        <f t="shared" si="2"/>
        <v>Wenn W&gt;=6000 - BAUS-4 Federn (SPR-4)</v>
      </c>
      <c r="AH113" t="s">
        <v>754</v>
      </c>
      <c r="AI113" t="s">
        <v>755</v>
      </c>
      <c r="AJ113" t="s">
        <v>756</v>
      </c>
      <c r="AK113" t="s">
        <v>757</v>
      </c>
      <c r="AL113" t="s">
        <v>758</v>
      </c>
      <c r="AM113" t="s">
        <v>759</v>
      </c>
    </row>
    <row r="115" spans="33:42">
      <c r="AG115" t="str">
        <f t="shared" si="2"/>
        <v>Paneel-Typ</v>
      </c>
      <c r="AH115" t="s">
        <v>760</v>
      </c>
      <c r="AI115" t="s">
        <v>761</v>
      </c>
      <c r="AJ115" t="s">
        <v>762</v>
      </c>
      <c r="AK115" t="s">
        <v>763</v>
      </c>
      <c r="AL115" t="s">
        <v>764</v>
      </c>
      <c r="AM115" t="s">
        <v>765</v>
      </c>
      <c r="AN115" t="s">
        <v>766</v>
      </c>
      <c r="AO115" t="s">
        <v>767</v>
      </c>
      <c r="AP115" t="s">
        <v>768</v>
      </c>
    </row>
    <row r="116" spans="33:42">
      <c r="AG116" t="str">
        <f t="shared" si="2"/>
        <v>40mm</v>
      </c>
      <c r="AH116" t="s">
        <v>769</v>
      </c>
      <c r="AI116" t="s">
        <v>769</v>
      </c>
      <c r="AJ116" t="s">
        <v>769</v>
      </c>
      <c r="AK116" t="s">
        <v>769</v>
      </c>
      <c r="AL116" t="s">
        <v>769</v>
      </c>
      <c r="AM116" t="s">
        <v>769</v>
      </c>
      <c r="AN116" t="s">
        <v>770</v>
      </c>
      <c r="AO116" t="s">
        <v>769</v>
      </c>
      <c r="AP116" t="s">
        <v>771</v>
      </c>
    </row>
    <row r="117" spans="33:42">
      <c r="AG117" t="str">
        <f t="shared" si="2"/>
        <v>80mm</v>
      </c>
      <c r="AH117" t="s">
        <v>772</v>
      </c>
      <c r="AI117" t="s">
        <v>772</v>
      </c>
      <c r="AJ117" t="s">
        <v>772</v>
      </c>
      <c r="AK117" t="s">
        <v>772</v>
      </c>
      <c r="AL117" t="s">
        <v>772</v>
      </c>
      <c r="AM117" t="s">
        <v>772</v>
      </c>
      <c r="AN117" t="s">
        <v>773</v>
      </c>
      <c r="AO117" t="s">
        <v>772</v>
      </c>
      <c r="AP117" t="s">
        <v>774</v>
      </c>
    </row>
    <row r="119" spans="33:42">
      <c r="AG119" t="str">
        <f t="shared" si="2"/>
        <v>Wenn 1 1/4 "Schaft, Sturz ist HL + 360 und Achse der Welle ist HL + 210 mm</v>
      </c>
      <c r="AH119" t="s">
        <v>775</v>
      </c>
      <c r="AI119" t="s">
        <v>776</v>
      </c>
      <c r="AJ119" t="s">
        <v>777</v>
      </c>
      <c r="AK119" t="s">
        <v>778</v>
      </c>
      <c r="AL119" t="s">
        <v>779</v>
      </c>
      <c r="AM119" t="s">
        <v>780</v>
      </c>
      <c r="AN119" t="s">
        <v>781</v>
      </c>
      <c r="AO119" t="s">
        <v>782</v>
      </c>
      <c r="AP119" t="s">
        <v>783</v>
      </c>
    </row>
    <row r="121" spans="33:42">
      <c r="AG121" t="str">
        <f t="shared" si="2"/>
        <v>Laufschienen-Typ</v>
      </c>
      <c r="AH121" t="s">
        <v>784</v>
      </c>
      <c r="AI121" t="s">
        <v>785</v>
      </c>
      <c r="AJ121" t="s">
        <v>786</v>
      </c>
      <c r="AK121" t="s">
        <v>787</v>
      </c>
      <c r="AL121" t="s">
        <v>788</v>
      </c>
      <c r="AM121" t="s">
        <v>789</v>
      </c>
      <c r="AN121" t="s">
        <v>790</v>
      </c>
      <c r="AO121" t="s">
        <v>791</v>
      </c>
      <c r="AP121" t="s">
        <v>792</v>
      </c>
    </row>
    <row r="122" spans="33:42">
      <c r="AG122" t="str">
        <f t="shared" si="2"/>
        <v>2"</v>
      </c>
      <c r="AH122" t="s">
        <v>793</v>
      </c>
      <c r="AI122" t="s">
        <v>793</v>
      </c>
      <c r="AJ122" t="s">
        <v>793</v>
      </c>
      <c r="AK122" t="s">
        <v>793</v>
      </c>
      <c r="AL122" t="s">
        <v>793</v>
      </c>
      <c r="AM122" t="s">
        <v>793</v>
      </c>
      <c r="AN122" t="s">
        <v>793</v>
      </c>
      <c r="AO122" t="s">
        <v>793</v>
      </c>
      <c r="AP122" t="s">
        <v>793</v>
      </c>
    </row>
    <row r="123" spans="33:42">
      <c r="AG123" t="str">
        <f t="shared" si="2"/>
        <v>3"</v>
      </c>
      <c r="AH123" t="s">
        <v>794</v>
      </c>
      <c r="AI123" t="s">
        <v>794</v>
      </c>
      <c r="AJ123" t="s">
        <v>794</v>
      </c>
      <c r="AK123" t="s">
        <v>794</v>
      </c>
      <c r="AL123" t="s">
        <v>794</v>
      </c>
      <c r="AM123" t="s">
        <v>794</v>
      </c>
      <c r="AN123" t="s">
        <v>794</v>
      </c>
      <c r="AO123" t="s">
        <v>794</v>
      </c>
      <c r="AP123" t="s">
        <v>794</v>
      </c>
    </row>
    <row r="125" spans="33:42">
      <c r="AG125" t="str">
        <f>VLOOKUP(AH125,AH125:AR219,$AE$1,FALSE)</f>
        <v>RAHMEN -  HÖHERGEFÜHRTER BESCHLAG (HL)</v>
      </c>
      <c r="AH125" t="s">
        <v>795</v>
      </c>
      <c r="AI125" t="s">
        <v>796</v>
      </c>
      <c r="AJ125" t="s">
        <v>797</v>
      </c>
      <c r="AK125" t="s">
        <v>798</v>
      </c>
      <c r="AL125" t="s">
        <v>799</v>
      </c>
      <c r="AM125" t="s">
        <v>800</v>
      </c>
      <c r="AN125" t="s">
        <v>801</v>
      </c>
      <c r="AO125" t="s">
        <v>802</v>
      </c>
      <c r="AP125" t="s">
        <v>803</v>
      </c>
    </row>
    <row r="126" spans="33:42">
      <c r="AG126" t="str">
        <f>VLOOKUP(AH126,AH126:AR220,$AE$1,FALSE)</f>
        <v>Angebot/Bestellung:</v>
      </c>
      <c r="AH126" t="s">
        <v>804</v>
      </c>
      <c r="AI126" t="s">
        <v>805</v>
      </c>
      <c r="AJ126" t="s">
        <v>806</v>
      </c>
      <c r="AK126" t="s">
        <v>807</v>
      </c>
      <c r="AL126" t="s">
        <v>808</v>
      </c>
      <c r="AM126" t="s">
        <v>809</v>
      </c>
      <c r="AN126" t="s">
        <v>810</v>
      </c>
      <c r="AO126" t="s">
        <v>811</v>
      </c>
      <c r="AP126" t="s">
        <v>812</v>
      </c>
    </row>
    <row r="127" spans="33:42">
      <c r="AG127" t="str">
        <f>VLOOKUP(AH127,AH127:AR221,$AE$1,FALSE)</f>
        <v>Position:</v>
      </c>
      <c r="AH127" t="s">
        <v>813</v>
      </c>
      <c r="AI127" t="s">
        <v>814</v>
      </c>
      <c r="AJ127" t="s">
        <v>814</v>
      </c>
      <c r="AK127" t="s">
        <v>815</v>
      </c>
      <c r="AL127" t="s">
        <v>816</v>
      </c>
      <c r="AM127" t="s">
        <v>817</v>
      </c>
      <c r="AN127" t="s">
        <v>818</v>
      </c>
      <c r="AO127" t="s">
        <v>819</v>
      </c>
      <c r="AP127" t="s">
        <v>820</v>
      </c>
    </row>
    <row r="128" spans="33:42">
      <c r="AG128" t="str">
        <f t="shared" ref="AG128:AG129" si="3">VLOOKUP(AH128,AH128:AR219,$AE$1,FALSE)</f>
        <v>Linke Seite</v>
      </c>
      <c r="AH128" t="s">
        <v>821</v>
      </c>
      <c r="AI128" t="s">
        <v>822</v>
      </c>
      <c r="AJ128" t="s">
        <v>823</v>
      </c>
      <c r="AK128" t="s">
        <v>824</v>
      </c>
      <c r="AL128" s="104" t="s">
        <v>825</v>
      </c>
      <c r="AM128" t="s">
        <v>826</v>
      </c>
      <c r="AN128" t="s">
        <v>827</v>
      </c>
      <c r="AO128" t="s">
        <v>828</v>
      </c>
      <c r="AP128" t="s">
        <v>829</v>
      </c>
    </row>
    <row r="129" spans="33:42">
      <c r="AG129" t="str">
        <f t="shared" si="3"/>
        <v>Rechte Seite</v>
      </c>
      <c r="AH129" t="s">
        <v>830</v>
      </c>
      <c r="AI129" t="s">
        <v>831</v>
      </c>
      <c r="AJ129" t="s">
        <v>832</v>
      </c>
      <c r="AK129" t="s">
        <v>833</v>
      </c>
      <c r="AL129" t="s">
        <v>834</v>
      </c>
      <c r="AM129" t="s">
        <v>835</v>
      </c>
      <c r="AN129" t="s">
        <v>836</v>
      </c>
      <c r="AO129" t="s">
        <v>837</v>
      </c>
    </row>
    <row r="130" spans="33:42">
      <c r="AG130" t="str">
        <f>VLOOKUP(AH130,AH130:AR225,$AE$1,FALSE)</f>
        <v>Für Seilbruchsicher mit orangefarbenem Deckel Seitenabstand (L und R) min. 145mm</v>
      </c>
      <c r="AH130" t="s">
        <v>838</v>
      </c>
      <c r="AI130" t="s">
        <v>839</v>
      </c>
      <c r="AJ130" t="s">
        <v>840</v>
      </c>
      <c r="AK130" t="s">
        <v>841</v>
      </c>
      <c r="AL130" t="s">
        <v>842</v>
      </c>
      <c r="AM130" s="104" t="s">
        <v>843</v>
      </c>
      <c r="AN130" t="s">
        <v>844</v>
      </c>
      <c r="AO130" t="s">
        <v>845</v>
      </c>
      <c r="AP130" t="s">
        <v>846</v>
      </c>
    </row>
    <row r="131" spans="33:42">
      <c r="AG131" t="str">
        <f t="shared" ref="AG131:AG132" si="4">VLOOKUP(AH131,AH131:AR226,$AE$1,FALSE)</f>
        <v xml:space="preserve">Antriebseite </v>
      </c>
      <c r="AH131" t="s">
        <v>847</v>
      </c>
      <c r="AI131" t="s">
        <v>848</v>
      </c>
      <c r="AJ131" t="s">
        <v>849</v>
      </c>
      <c r="AK131" t="s">
        <v>850</v>
      </c>
      <c r="AL131" t="s">
        <v>851</v>
      </c>
      <c r="AM131" t="s">
        <v>852</v>
      </c>
      <c r="AN131" t="s">
        <v>853</v>
      </c>
      <c r="AO131" t="s">
        <v>854</v>
      </c>
      <c r="AP131" t="s">
        <v>855</v>
      </c>
    </row>
    <row r="132" spans="33:42">
      <c r="AG132" t="str">
        <f t="shared" si="4"/>
        <v xml:space="preserve">Andere Seite </v>
      </c>
      <c r="AH132" t="s">
        <v>856</v>
      </c>
      <c r="AI132" t="s">
        <v>857</v>
      </c>
      <c r="AJ132" t="s">
        <v>858</v>
      </c>
      <c r="AK132" t="s">
        <v>859</v>
      </c>
      <c r="AL132" t="s">
        <v>860</v>
      </c>
      <c r="AM132" t="s">
        <v>861</v>
      </c>
      <c r="AN132" t="s">
        <v>862</v>
      </c>
      <c r="AO132" t="s">
        <v>863</v>
      </c>
      <c r="AP132" t="s">
        <v>864</v>
      </c>
    </row>
    <row r="238" spans="34:98"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</row>
    <row r="310" spans="34:98"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</row>
  </sheetData>
  <sheetProtection algorithmName="SHA-512" hashValue="YVRBOU0mzs/Xv5Smm7JiaxeDzUfNITHL6+ysPgDIKkq7UPL1RE1G648soaFG812Umo9qYJ5IGmSI4kqq9XKA9A==" saltValue="rJ0QIkSaEWUb1gpeqoLK3A==" spinCount="100000" sheet="1" selectLockedCells="1"/>
  <mergeCells count="46">
    <mergeCell ref="W2:AB3"/>
    <mergeCell ref="X4:AB4"/>
    <mergeCell ref="X5:AB5"/>
    <mergeCell ref="H7:J8"/>
    <mergeCell ref="K9:N9"/>
    <mergeCell ref="O9:P9"/>
    <mergeCell ref="R9:S9"/>
    <mergeCell ref="K11:M11"/>
    <mergeCell ref="D12:F12"/>
    <mergeCell ref="K13:M13"/>
    <mergeCell ref="D14:F14"/>
    <mergeCell ref="S18:S21"/>
    <mergeCell ref="Y39:AA40"/>
    <mergeCell ref="B19:B20"/>
    <mergeCell ref="T19:T20"/>
    <mergeCell ref="B21:B22"/>
    <mergeCell ref="T22:T23"/>
    <mergeCell ref="T24:T25"/>
    <mergeCell ref="T26:T27"/>
    <mergeCell ref="U18:U20"/>
    <mergeCell ref="U26:U27"/>
    <mergeCell ref="B27:B30"/>
    <mergeCell ref="R29:S29"/>
    <mergeCell ref="Y31:AA32"/>
    <mergeCell ref="R35:R36"/>
    <mergeCell ref="C42:C43"/>
    <mergeCell ref="Y42:AA43"/>
    <mergeCell ref="B43:B44"/>
    <mergeCell ref="C45:C46"/>
    <mergeCell ref="E45:F45"/>
    <mergeCell ref="F46:G46"/>
    <mergeCell ref="R51:AB52"/>
    <mergeCell ref="R54:AB55"/>
    <mergeCell ref="R61:S61"/>
    <mergeCell ref="T61:U61"/>
    <mergeCell ref="V61:W61"/>
    <mergeCell ref="X61:Y61"/>
    <mergeCell ref="V68:Y69"/>
    <mergeCell ref="AA68:AB68"/>
    <mergeCell ref="AA69:AB69"/>
    <mergeCell ref="R62:S62"/>
    <mergeCell ref="T62:U62"/>
    <mergeCell ref="V62:W62"/>
    <mergeCell ref="X62:Y62"/>
    <mergeCell ref="R63:U64"/>
    <mergeCell ref="V63:AB67"/>
  </mergeCells>
  <conditionalFormatting sqref="K3 K5">
    <cfRule type="cellIs" dxfId="4" priority="4" stopIfTrue="1" operator="equal">
      <formula>0</formula>
    </cfRule>
  </conditionalFormatting>
  <conditionalFormatting sqref="K7">
    <cfRule type="cellIs" dxfId="3" priority="3" stopIfTrue="1" operator="equal">
      <formula>0</formula>
    </cfRule>
  </conditionalFormatting>
  <conditionalFormatting sqref="K11">
    <cfRule type="cellIs" dxfId="2" priority="2" stopIfTrue="1" operator="equal">
      <formula>0</formula>
    </cfRule>
  </conditionalFormatting>
  <conditionalFormatting sqref="K13">
    <cfRule type="cellIs" dxfId="1" priority="1" stopIfTrue="1" operator="equal">
      <formula>0</formula>
    </cfRule>
  </conditionalFormatting>
  <conditionalFormatting sqref="R9:S9">
    <cfRule type="expression" dxfId="0" priority="5" stopIfTrue="1">
      <formula>AND(OR($K$9=$AG$102,K9=""))</formula>
    </cfRule>
  </conditionalFormatting>
  <dataValidations count="8">
    <dataValidation type="list" allowBlank="1" showInputMessage="1" showErrorMessage="1" sqref="K9:N9" xr:uid="{139424BA-739D-4308-AA81-151FB7FC73AA}">
      <formula1>$AU$1:$AU$5</formula1>
    </dataValidation>
    <dataValidation type="whole" operator="greaterThan" allowBlank="1" showErrorMessage="1" error="Minimum F = 480mm_x000a_" prompt="Minimum F=480mm" sqref="K7" xr:uid="{94871E34-13A4-4427-B778-226905F72A95}">
      <formula1>480</formula1>
    </dataValidation>
    <dataValidation type="list" allowBlank="1" showInputMessage="1" showErrorMessage="1" sqref="E5" xr:uid="{F36D0278-26BA-4160-9FCB-0E12C6903217}">
      <formula1>$AD$3:$AD$11</formula1>
    </dataValidation>
    <dataValidation type="list" allowBlank="1" showInputMessage="1" showErrorMessage="1" sqref="BT18 BP17:BS18 BW18" xr:uid="{53611D27-08A6-415B-9836-4859EDB7CB4F}">
      <formula1>$AG$107:$AG$108</formula1>
    </dataValidation>
    <dataValidation type="list" allowBlank="1" showInputMessage="1" showErrorMessage="1" sqref="K11" xr:uid="{05F2549B-F961-4E8D-8141-AAF98BDCC58B}">
      <formula1>AG116:AG117</formula1>
    </dataValidation>
    <dataValidation type="list" allowBlank="1" showInputMessage="1" showErrorMessage="1" sqref="K13" xr:uid="{A5EB4F4A-86E1-4A2D-9D2A-99F132D38B03}">
      <formula1>AG122:AG123</formula1>
    </dataValidation>
    <dataValidation type="custom" allowBlank="1" showInputMessage="1" showErrorMessage="1" error="W max 8000 mm" sqref="K3" xr:uid="{251C5922-E2C4-4AAA-B4B1-F4FB4D64E9DF}">
      <formula1>IF(OR(K3&gt;8000,K3/1000*K5/1000&gt;40),FALSE,TRUE)</formula1>
    </dataValidation>
    <dataValidation type="custom" allowBlank="1" showInputMessage="1" showErrorMessage="1" error="H max 6500 mm_x000a__x000a__x000a_W x H max 40 m2" sqref="K5" xr:uid="{19B244C7-02D9-4456-A09D-092B5B68379D}">
      <formula1>IF(OR(K5&gt;6500,K3/1000*K5/1000&gt;40),FALSE,TRUE)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49" orientation="landscape" r:id="rId1"/>
  <colBreaks count="1" manualBreakCount="1">
    <brk id="29" max="6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40E9E-0144-46EB-95DB-62517DB67CF8}">
  <sheetPr codeName="List2"/>
  <dimension ref="A1:I49"/>
  <sheetViews>
    <sheetView showGridLines="0" view="pageBreakPreview" topLeftCell="A15" zoomScaleNormal="100" zoomScaleSheetLayoutView="100" workbookViewId="0">
      <selection activeCell="H42" sqref="H42:I49"/>
    </sheetView>
  </sheetViews>
  <sheetFormatPr baseColWidth="10" defaultColWidth="9.140625" defaultRowHeight="15"/>
  <cols>
    <col min="9" max="10" width="9.140625" customWidth="1"/>
  </cols>
  <sheetData>
    <row r="1" spans="1:9">
      <c r="A1" s="105"/>
      <c r="B1" s="106"/>
      <c r="C1" s="106"/>
      <c r="D1" s="106"/>
      <c r="E1" s="106"/>
      <c r="F1" s="106"/>
      <c r="G1" s="106"/>
      <c r="H1" s="106"/>
      <c r="I1" s="107"/>
    </row>
    <row r="2" spans="1:9">
      <c r="A2" s="108"/>
      <c r="B2" s="31"/>
      <c r="C2" s="31"/>
      <c r="D2" s="31"/>
      <c r="E2" s="31"/>
      <c r="F2" s="31"/>
      <c r="G2" s="31"/>
      <c r="H2" s="31"/>
      <c r="I2" s="109"/>
    </row>
    <row r="3" spans="1:9">
      <c r="A3" s="108"/>
      <c r="B3" s="31"/>
      <c r="C3" s="27"/>
      <c r="D3" s="31"/>
      <c r="E3" s="31"/>
      <c r="F3" s="31"/>
      <c r="G3" s="31"/>
      <c r="H3" s="31"/>
      <c r="I3" s="109"/>
    </row>
    <row r="4" spans="1:9">
      <c r="A4" s="108"/>
      <c r="B4" s="26"/>
      <c r="C4" s="31"/>
      <c r="D4" s="31"/>
      <c r="E4" s="31"/>
      <c r="F4" s="31"/>
      <c r="G4" s="31"/>
      <c r="H4" s="31"/>
      <c r="I4" s="109"/>
    </row>
    <row r="5" spans="1:9">
      <c r="A5" s="108"/>
      <c r="B5" s="31"/>
      <c r="C5" s="31"/>
      <c r="D5" s="31"/>
      <c r="E5" s="31"/>
      <c r="F5" s="31"/>
      <c r="G5" s="31"/>
      <c r="H5" s="31"/>
      <c r="I5" s="109"/>
    </row>
    <row r="6" spans="1:9">
      <c r="A6" s="143"/>
      <c r="B6" s="31"/>
      <c r="C6" s="31"/>
      <c r="D6" s="31"/>
      <c r="E6" s="31"/>
      <c r="F6" s="31"/>
      <c r="G6" s="31"/>
      <c r="H6" s="31"/>
      <c r="I6" s="109"/>
    </row>
    <row r="7" spans="1:9">
      <c r="A7" s="143"/>
      <c r="B7" s="31"/>
      <c r="C7" s="31"/>
      <c r="D7" s="31"/>
      <c r="E7" s="31"/>
      <c r="F7" s="31"/>
      <c r="G7" s="31"/>
      <c r="H7" s="31"/>
      <c r="I7" s="109"/>
    </row>
    <row r="8" spans="1:9">
      <c r="A8" s="143"/>
      <c r="B8" s="31"/>
      <c r="C8" s="31"/>
      <c r="D8" s="31"/>
      <c r="E8" s="31"/>
      <c r="F8" s="31"/>
      <c r="G8" s="31"/>
      <c r="H8" s="31"/>
      <c r="I8" s="109"/>
    </row>
    <row r="9" spans="1:9">
      <c r="A9" s="143"/>
      <c r="B9" s="31"/>
      <c r="C9" s="31"/>
      <c r="D9" s="31"/>
      <c r="E9" s="31"/>
      <c r="F9" s="31"/>
      <c r="G9" s="31"/>
      <c r="H9" s="31"/>
      <c r="I9" s="109"/>
    </row>
    <row r="10" spans="1:9">
      <c r="A10" s="108"/>
      <c r="B10" s="31"/>
      <c r="C10" s="31"/>
      <c r="D10" s="31"/>
      <c r="E10" s="31"/>
      <c r="F10" s="31"/>
      <c r="G10" s="31"/>
      <c r="H10" s="31"/>
      <c r="I10" s="109"/>
    </row>
    <row r="11" spans="1:9">
      <c r="A11" s="108"/>
      <c r="B11" s="31"/>
      <c r="C11" s="31"/>
      <c r="D11" s="31"/>
      <c r="E11" s="31"/>
      <c r="F11" s="31"/>
      <c r="G11" s="31"/>
      <c r="H11" s="31"/>
      <c r="I11" s="109"/>
    </row>
    <row r="12" spans="1:9">
      <c r="A12" s="108"/>
      <c r="B12" s="31"/>
      <c r="C12" s="31"/>
      <c r="D12" s="31"/>
      <c r="E12" s="31"/>
      <c r="F12" s="31"/>
      <c r="G12" s="31"/>
      <c r="H12" s="31"/>
      <c r="I12" s="109"/>
    </row>
    <row r="13" spans="1:9">
      <c r="A13" s="108"/>
      <c r="B13" s="31"/>
      <c r="C13" s="31"/>
      <c r="D13" s="31"/>
      <c r="E13" s="31"/>
      <c r="F13" s="31"/>
      <c r="G13" s="31"/>
      <c r="H13" s="31"/>
      <c r="I13" s="109"/>
    </row>
    <row r="14" spans="1:9">
      <c r="A14" s="108"/>
      <c r="B14" s="31"/>
      <c r="C14" s="31"/>
      <c r="D14" s="31"/>
      <c r="E14" s="31"/>
      <c r="F14" s="31"/>
      <c r="G14" s="31"/>
      <c r="H14" s="31"/>
      <c r="I14" s="109"/>
    </row>
    <row r="15" spans="1:9">
      <c r="A15" s="176"/>
      <c r="B15" s="31"/>
      <c r="C15" s="31"/>
      <c r="D15" s="31"/>
      <c r="E15" s="31"/>
      <c r="F15" s="31"/>
      <c r="G15" s="31"/>
      <c r="H15" s="31"/>
      <c r="I15" s="109"/>
    </row>
    <row r="16" spans="1:9">
      <c r="A16" s="176"/>
      <c r="B16" s="31"/>
      <c r="C16" s="31"/>
      <c r="D16" s="31"/>
      <c r="E16" s="31"/>
      <c r="F16" s="31"/>
      <c r="G16" s="31"/>
      <c r="H16" s="31"/>
      <c r="I16" s="109"/>
    </row>
    <row r="17" spans="1:9">
      <c r="A17" s="176"/>
      <c r="B17" s="31"/>
      <c r="C17" s="31"/>
      <c r="D17" s="31"/>
      <c r="E17" s="31"/>
      <c r="F17" s="31"/>
      <c r="G17" s="31"/>
      <c r="H17" s="31"/>
      <c r="I17" s="109"/>
    </row>
    <row r="18" spans="1:9">
      <c r="A18" s="176"/>
      <c r="B18" s="31"/>
      <c r="C18" s="31"/>
      <c r="D18" s="31"/>
      <c r="E18" s="31"/>
      <c r="F18" s="31"/>
      <c r="G18" s="31"/>
      <c r="H18" s="31"/>
      <c r="I18" s="109"/>
    </row>
    <row r="19" spans="1:9">
      <c r="A19" s="108"/>
      <c r="B19" s="31"/>
      <c r="C19" s="31"/>
      <c r="D19" s="31"/>
      <c r="E19" s="31"/>
      <c r="F19" s="31"/>
      <c r="G19" s="31"/>
      <c r="H19" s="31"/>
      <c r="I19" s="109"/>
    </row>
    <row r="20" spans="1:9">
      <c r="A20" s="108"/>
      <c r="B20" s="31"/>
      <c r="C20" s="31"/>
      <c r="D20" s="31"/>
      <c r="E20" s="31"/>
      <c r="F20" s="31"/>
      <c r="G20" s="31"/>
      <c r="H20" s="31"/>
      <c r="I20" s="109"/>
    </row>
    <row r="21" spans="1:9">
      <c r="A21" s="108"/>
      <c r="B21" s="31"/>
      <c r="C21" s="31"/>
      <c r="D21" s="31"/>
      <c r="E21" s="31"/>
      <c r="F21" s="31"/>
      <c r="G21" s="31"/>
      <c r="H21" s="31"/>
      <c r="I21" s="109"/>
    </row>
    <row r="22" spans="1:9">
      <c r="A22" s="108"/>
      <c r="B22" s="31"/>
      <c r="C22" s="31"/>
      <c r="D22" s="31"/>
      <c r="E22" s="31"/>
      <c r="F22" s="31"/>
      <c r="G22" s="31"/>
      <c r="H22" s="31"/>
      <c r="I22" s="109"/>
    </row>
    <row r="23" spans="1:9">
      <c r="A23" s="108"/>
      <c r="B23" s="31"/>
      <c r="C23" s="31"/>
      <c r="D23" s="31"/>
      <c r="E23" s="31"/>
      <c r="F23" s="31"/>
      <c r="G23" s="31"/>
      <c r="H23" s="31"/>
      <c r="I23" s="109"/>
    </row>
    <row r="24" spans="1:9">
      <c r="A24" s="108"/>
      <c r="B24" s="31"/>
      <c r="C24" s="31"/>
      <c r="D24" s="31"/>
      <c r="E24" s="31"/>
      <c r="F24" s="31"/>
      <c r="G24" s="31"/>
      <c r="H24" s="31"/>
      <c r="I24" s="109"/>
    </row>
    <row r="25" spans="1:9">
      <c r="A25" s="108"/>
      <c r="B25" s="31"/>
      <c r="C25" s="31"/>
      <c r="D25" s="31"/>
      <c r="E25" s="31"/>
      <c r="F25" s="31"/>
      <c r="G25" s="31"/>
      <c r="H25" s="31"/>
      <c r="I25" s="109"/>
    </row>
    <row r="26" spans="1:9">
      <c r="A26" s="108"/>
      <c r="B26" s="31"/>
      <c r="C26" s="31"/>
      <c r="D26" s="31"/>
      <c r="E26" s="31"/>
      <c r="F26" s="31"/>
      <c r="G26" s="31"/>
      <c r="H26" s="31"/>
      <c r="I26" s="109"/>
    </row>
    <row r="27" spans="1:9">
      <c r="A27" s="108"/>
      <c r="B27" s="31"/>
      <c r="C27" s="31"/>
      <c r="D27" s="27"/>
      <c r="E27" s="31"/>
      <c r="F27" s="31"/>
      <c r="G27" s="27"/>
      <c r="H27" s="31"/>
      <c r="I27" s="109"/>
    </row>
    <row r="28" spans="1:9">
      <c r="A28" s="108"/>
      <c r="B28" s="31"/>
      <c r="C28" s="31"/>
      <c r="D28" s="31"/>
      <c r="E28" s="31"/>
      <c r="F28" s="27"/>
      <c r="G28" s="31"/>
      <c r="H28" s="31"/>
      <c r="I28" s="109"/>
    </row>
    <row r="29" spans="1:9">
      <c r="A29" s="108"/>
      <c r="B29" s="31"/>
      <c r="C29" s="31"/>
      <c r="D29" s="31"/>
      <c r="E29" s="31"/>
      <c r="F29" s="27"/>
      <c r="G29" s="31"/>
      <c r="H29" s="31"/>
      <c r="I29" s="109"/>
    </row>
    <row r="30" spans="1:9">
      <c r="A30" s="108"/>
      <c r="B30" s="31"/>
      <c r="C30" s="31"/>
      <c r="D30" s="31"/>
      <c r="E30" s="31"/>
      <c r="F30" s="31"/>
      <c r="G30" s="31"/>
      <c r="H30" s="31"/>
      <c r="I30" s="109"/>
    </row>
    <row r="31" spans="1:9">
      <c r="A31" s="108"/>
      <c r="B31" s="31"/>
      <c r="C31" s="31"/>
      <c r="D31" s="31"/>
      <c r="E31" s="31"/>
      <c r="F31" s="31"/>
      <c r="G31" s="31"/>
      <c r="H31" s="31"/>
      <c r="I31" s="109"/>
    </row>
    <row r="32" spans="1:9">
      <c r="A32" s="108"/>
      <c r="B32" s="31"/>
      <c r="C32" s="31"/>
      <c r="D32" s="31"/>
      <c r="E32" s="31"/>
      <c r="F32" s="31"/>
      <c r="G32" s="31"/>
      <c r="H32" s="31"/>
      <c r="I32" s="109"/>
    </row>
    <row r="33" spans="1:9">
      <c r="A33" s="108"/>
      <c r="B33" s="31"/>
      <c r="C33" s="31"/>
      <c r="D33" s="31"/>
      <c r="E33" s="31"/>
      <c r="F33" s="31"/>
      <c r="G33" s="31"/>
      <c r="H33" s="31"/>
      <c r="I33" s="109"/>
    </row>
    <row r="34" spans="1:9">
      <c r="A34" s="52"/>
      <c r="I34" s="5"/>
    </row>
    <row r="35" spans="1:9">
      <c r="A35" s="52"/>
      <c r="I35" s="5"/>
    </row>
    <row r="36" spans="1:9">
      <c r="A36" s="52"/>
      <c r="I36" s="5"/>
    </row>
    <row r="37" spans="1:9">
      <c r="A37" s="52"/>
      <c r="I37" s="5"/>
    </row>
    <row r="38" spans="1:9">
      <c r="A38" s="52"/>
      <c r="I38" s="5"/>
    </row>
    <row r="39" spans="1:9" ht="15.75" thickBot="1">
      <c r="A39" s="52"/>
      <c r="I39" s="5"/>
    </row>
    <row r="40" spans="1:9">
      <c r="A40" s="52"/>
      <c r="C40" s="111" t="str">
        <f>general!AG125</f>
        <v>RAHMEN -  HÖHERGEFÜHRTER BESCHLAG (HL)</v>
      </c>
      <c r="D40" s="112"/>
      <c r="E40" s="112"/>
      <c r="F40" s="112"/>
      <c r="G40" s="112"/>
      <c r="H40" s="112"/>
      <c r="I40" s="113"/>
    </row>
    <row r="41" spans="1:9" ht="15.75" thickBot="1">
      <c r="A41" s="52"/>
      <c r="C41" s="114"/>
      <c r="D41" s="115"/>
      <c r="E41" s="115"/>
      <c r="F41" s="115"/>
      <c r="G41" s="115"/>
      <c r="H41" s="115"/>
      <c r="I41" s="116"/>
    </row>
    <row r="42" spans="1:9" ht="15.75" thickBot="1">
      <c r="A42" s="52"/>
      <c r="C42" s="171" t="str">
        <f>general!$AG$101</f>
        <v>Bedienung</v>
      </c>
      <c r="D42" s="172"/>
      <c r="E42" s="111" t="str">
        <f>general!$AG$108</f>
        <v>Antrieb - rechts</v>
      </c>
      <c r="F42" s="112"/>
      <c r="G42" s="113"/>
      <c r="H42" s="177"/>
      <c r="I42" s="177"/>
    </row>
    <row r="43" spans="1:9" ht="15.75" thickBot="1">
      <c r="A43" s="52"/>
      <c r="C43" s="173"/>
      <c r="D43" s="174"/>
      <c r="E43" s="114"/>
      <c r="F43" s="115"/>
      <c r="G43" s="116"/>
      <c r="H43" s="177"/>
      <c r="I43" s="177"/>
    </row>
    <row r="44" spans="1:9" ht="15.75" thickBot="1">
      <c r="A44" s="52"/>
      <c r="C44" s="171" t="str">
        <f>general!$R$61</f>
        <v>Aufgestellt:</v>
      </c>
      <c r="D44" s="172"/>
      <c r="E44" s="178"/>
      <c r="F44" s="178"/>
      <c r="G44" s="178"/>
      <c r="H44" s="177"/>
      <c r="I44" s="177"/>
    </row>
    <row r="45" spans="1:9" ht="15.75" thickBot="1">
      <c r="A45" s="52"/>
      <c r="C45" s="173"/>
      <c r="D45" s="174"/>
      <c r="E45" s="178"/>
      <c r="F45" s="178"/>
      <c r="G45" s="178"/>
      <c r="H45" s="177"/>
      <c r="I45" s="177"/>
    </row>
    <row r="46" spans="1:9" ht="15.75" thickBot="1">
      <c r="A46" s="52"/>
      <c r="C46" s="171" t="str">
        <f>general!$T$61</f>
        <v>Bereinigt:</v>
      </c>
      <c r="D46" s="172"/>
      <c r="E46" s="178"/>
      <c r="F46" s="178"/>
      <c r="G46" s="178"/>
      <c r="H46" s="177"/>
      <c r="I46" s="177"/>
    </row>
    <row r="47" spans="1:9" ht="15.75" thickBot="1">
      <c r="A47" s="52"/>
      <c r="C47" s="173"/>
      <c r="D47" s="174"/>
      <c r="E47" s="178"/>
      <c r="F47" s="178"/>
      <c r="G47" s="178"/>
      <c r="H47" s="177"/>
      <c r="I47" s="177"/>
    </row>
    <row r="48" spans="1:9" ht="15.75" thickBot="1">
      <c r="A48" s="52"/>
      <c r="C48" s="171" t="str">
        <f>general!$Z$61</f>
        <v>Datum:</v>
      </c>
      <c r="D48" s="172"/>
      <c r="E48" s="175"/>
      <c r="F48" s="175"/>
      <c r="G48" s="175"/>
      <c r="H48" s="177"/>
      <c r="I48" s="177"/>
    </row>
    <row r="49" spans="1:9" ht="15.75" thickBot="1">
      <c r="A49" s="99"/>
      <c r="B49" s="1"/>
      <c r="C49" s="173"/>
      <c r="D49" s="174"/>
      <c r="E49" s="175"/>
      <c r="F49" s="175"/>
      <c r="G49" s="175"/>
      <c r="H49" s="177"/>
      <c r="I49" s="177"/>
    </row>
  </sheetData>
  <sheetProtection algorithmName="SHA-512" hashValue="Gp7Gp2gJrogOSQa5QA1xEhSRTuWqrM/vJcWG2GQBycll3VKWopKQBhXK275vqBKhSeJmhG4Q/iU5zyrZaQ8kMA==" saltValue="Br1dJIM9TjnfUtaheGEtwQ==" spinCount="100000" sheet="1" selectLockedCells="1"/>
  <mergeCells count="12">
    <mergeCell ref="C48:D49"/>
    <mergeCell ref="E48:G49"/>
    <mergeCell ref="A6:A9"/>
    <mergeCell ref="A15:A18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0E73-4DE9-4AE4-9118-58E5F3CC1939}">
  <sheetPr codeName="List3"/>
  <dimension ref="A1:I49"/>
  <sheetViews>
    <sheetView showGridLines="0" view="pageBreakPreview" topLeftCell="A19" zoomScaleNormal="100" zoomScaleSheetLayoutView="100" workbookViewId="0">
      <selection activeCell="E48" sqref="E48:G49"/>
    </sheetView>
  </sheetViews>
  <sheetFormatPr baseColWidth="10" defaultColWidth="9.140625" defaultRowHeight="15"/>
  <sheetData>
    <row r="1" spans="1:9">
      <c r="A1" s="105"/>
      <c r="B1" s="106"/>
      <c r="C1" s="106"/>
      <c r="D1" s="106"/>
      <c r="E1" s="106"/>
      <c r="F1" s="106"/>
      <c r="G1" s="106"/>
      <c r="H1" s="106"/>
      <c r="I1" s="107"/>
    </row>
    <row r="2" spans="1:9">
      <c r="A2" s="108"/>
      <c r="B2" s="31"/>
      <c r="C2" s="31"/>
      <c r="D2" s="31"/>
      <c r="E2" s="31"/>
      <c r="F2" s="31"/>
      <c r="G2" s="31"/>
      <c r="H2" s="31"/>
      <c r="I2" s="109"/>
    </row>
    <row r="3" spans="1:9">
      <c r="A3" s="108"/>
      <c r="B3" s="31"/>
      <c r="C3" s="31"/>
      <c r="D3" s="31"/>
      <c r="E3" s="31"/>
      <c r="F3" s="31"/>
      <c r="G3" s="31"/>
      <c r="H3" s="31"/>
      <c r="I3" s="109"/>
    </row>
    <row r="4" spans="1:9">
      <c r="A4" s="108"/>
      <c r="B4" s="31"/>
      <c r="C4" s="31"/>
      <c r="D4" s="31"/>
      <c r="E4" s="31"/>
      <c r="F4" s="31"/>
      <c r="G4" s="31"/>
      <c r="H4" s="26"/>
      <c r="I4" s="109"/>
    </row>
    <row r="5" spans="1:9">
      <c r="A5" s="108"/>
      <c r="B5" s="31"/>
      <c r="C5" s="31"/>
      <c r="D5" s="31"/>
      <c r="E5" s="31"/>
      <c r="F5" s="31"/>
      <c r="G5" s="31"/>
      <c r="H5" s="31"/>
      <c r="I5" s="109"/>
    </row>
    <row r="6" spans="1:9">
      <c r="A6" s="143"/>
      <c r="B6" s="31"/>
      <c r="C6" s="31"/>
      <c r="D6" s="31"/>
      <c r="E6" s="31"/>
      <c r="F6" s="31"/>
      <c r="G6" s="31"/>
      <c r="H6" s="31"/>
      <c r="I6" s="179"/>
    </row>
    <row r="7" spans="1:9">
      <c r="A7" s="143"/>
      <c r="B7" s="31"/>
      <c r="C7" s="31"/>
      <c r="D7" s="31"/>
      <c r="E7" s="31"/>
      <c r="F7" s="31"/>
      <c r="G7" s="31"/>
      <c r="H7" s="31"/>
      <c r="I7" s="179"/>
    </row>
    <row r="8" spans="1:9">
      <c r="A8" s="143"/>
      <c r="B8" s="31"/>
      <c r="C8" s="31"/>
      <c r="D8" s="31"/>
      <c r="E8" s="31"/>
      <c r="F8" s="31"/>
      <c r="G8" s="31"/>
      <c r="H8" s="31"/>
      <c r="I8" s="179"/>
    </row>
    <row r="9" spans="1:9">
      <c r="A9" s="143"/>
      <c r="B9" s="31"/>
      <c r="C9" s="31"/>
      <c r="D9" s="31"/>
      <c r="E9" s="31"/>
      <c r="F9" s="31"/>
      <c r="G9" s="31"/>
      <c r="H9" s="31"/>
      <c r="I9" s="179"/>
    </row>
    <row r="10" spans="1:9">
      <c r="A10" s="108"/>
      <c r="B10" s="31"/>
      <c r="C10" s="31"/>
      <c r="D10" s="31"/>
      <c r="E10" s="31"/>
      <c r="F10" s="31"/>
      <c r="G10" s="31"/>
      <c r="H10" s="31"/>
      <c r="I10" s="109"/>
    </row>
    <row r="11" spans="1:9">
      <c r="A11" s="108"/>
      <c r="B11" s="31"/>
      <c r="C11" s="31"/>
      <c r="D11" s="31"/>
      <c r="E11" s="31"/>
      <c r="F11" s="31"/>
      <c r="G11" s="31"/>
      <c r="H11" s="31"/>
      <c r="I11" s="109"/>
    </row>
    <row r="12" spans="1:9">
      <c r="A12" s="108"/>
      <c r="B12" s="31"/>
      <c r="C12" s="31"/>
      <c r="D12" s="31"/>
      <c r="E12" s="31"/>
      <c r="F12" s="31"/>
      <c r="G12" s="31"/>
      <c r="H12" s="31"/>
      <c r="I12" s="109"/>
    </row>
    <row r="13" spans="1:9">
      <c r="A13" s="108"/>
      <c r="B13" s="31"/>
      <c r="C13" s="31"/>
      <c r="D13" s="31"/>
      <c r="E13" s="31"/>
      <c r="F13" s="31"/>
      <c r="G13" s="31"/>
      <c r="H13" s="31"/>
      <c r="I13" s="109"/>
    </row>
    <row r="14" spans="1:9">
      <c r="A14" s="108"/>
      <c r="B14" s="31"/>
      <c r="C14" s="31"/>
      <c r="D14" s="31"/>
      <c r="E14" s="31"/>
      <c r="F14" s="31"/>
      <c r="G14" s="31"/>
      <c r="H14" s="31"/>
      <c r="I14" s="109"/>
    </row>
    <row r="15" spans="1:9">
      <c r="A15" s="176"/>
      <c r="B15" s="31"/>
      <c r="C15" s="31"/>
      <c r="D15" s="31"/>
      <c r="E15" s="31"/>
      <c r="F15" s="31"/>
      <c r="G15" s="31"/>
      <c r="H15" s="31"/>
      <c r="I15" s="179"/>
    </row>
    <row r="16" spans="1:9">
      <c r="A16" s="176"/>
      <c r="B16" s="31"/>
      <c r="C16" s="31"/>
      <c r="D16" s="31"/>
      <c r="E16" s="31"/>
      <c r="F16" s="31"/>
      <c r="G16" s="31"/>
      <c r="H16" s="31"/>
      <c r="I16" s="179"/>
    </row>
    <row r="17" spans="1:9">
      <c r="A17" s="176"/>
      <c r="B17" s="31"/>
      <c r="C17" s="31"/>
      <c r="D17" s="31"/>
      <c r="E17" s="31"/>
      <c r="F17" s="31"/>
      <c r="G17" s="31"/>
      <c r="H17" s="31"/>
      <c r="I17" s="179"/>
    </row>
    <row r="18" spans="1:9">
      <c r="A18" s="176"/>
      <c r="B18" s="31"/>
      <c r="C18" s="31"/>
      <c r="D18" s="31"/>
      <c r="E18" s="31"/>
      <c r="F18" s="31"/>
      <c r="G18" s="31"/>
      <c r="H18" s="31"/>
      <c r="I18" s="179"/>
    </row>
    <row r="19" spans="1:9">
      <c r="A19" s="108"/>
      <c r="B19" s="31"/>
      <c r="C19" s="31"/>
      <c r="D19" s="31"/>
      <c r="E19" s="31"/>
      <c r="F19" s="31"/>
      <c r="G19" s="31"/>
      <c r="H19" s="31"/>
      <c r="I19" s="109"/>
    </row>
    <row r="20" spans="1:9">
      <c r="A20" s="108"/>
      <c r="B20" s="31"/>
      <c r="C20" s="31"/>
      <c r="D20" s="31"/>
      <c r="E20" s="31"/>
      <c r="F20" s="31"/>
      <c r="G20" s="31"/>
      <c r="H20" s="31"/>
      <c r="I20" s="109"/>
    </row>
    <row r="21" spans="1:9">
      <c r="A21" s="108"/>
      <c r="B21" s="31"/>
      <c r="C21" s="31"/>
      <c r="D21" s="31"/>
      <c r="E21" s="31"/>
      <c r="F21" s="31"/>
      <c r="G21" s="31"/>
      <c r="H21" s="31"/>
      <c r="I21" s="109"/>
    </row>
    <row r="22" spans="1:9">
      <c r="A22" s="108"/>
      <c r="B22" s="31"/>
      <c r="C22" s="31"/>
      <c r="D22" s="31"/>
      <c r="E22" s="31"/>
      <c r="F22" s="31"/>
      <c r="G22" s="31"/>
      <c r="H22" s="31"/>
      <c r="I22" s="109"/>
    </row>
    <row r="23" spans="1:9">
      <c r="A23" s="108"/>
      <c r="B23" s="31"/>
      <c r="C23" s="31"/>
      <c r="D23" s="31"/>
      <c r="E23" s="31"/>
      <c r="F23" s="31"/>
      <c r="G23" s="31"/>
      <c r="H23" s="31"/>
      <c r="I23" s="109"/>
    </row>
    <row r="24" spans="1:9">
      <c r="A24" s="108"/>
      <c r="B24" s="31"/>
      <c r="C24" s="31"/>
      <c r="D24" s="31"/>
      <c r="E24" s="31"/>
      <c r="F24" s="31"/>
      <c r="G24" s="31"/>
      <c r="H24" s="31"/>
      <c r="I24" s="109"/>
    </row>
    <row r="25" spans="1:9">
      <c r="A25" s="108"/>
      <c r="B25" s="31"/>
      <c r="C25" s="31"/>
      <c r="D25" s="31"/>
      <c r="E25" s="31"/>
      <c r="F25" s="31"/>
      <c r="G25" s="31"/>
      <c r="H25" s="31"/>
      <c r="I25" s="109"/>
    </row>
    <row r="26" spans="1:9">
      <c r="A26" s="108"/>
      <c r="B26" s="31"/>
      <c r="C26" s="31"/>
      <c r="D26" s="31"/>
      <c r="E26" s="31"/>
      <c r="F26" s="31"/>
      <c r="G26" s="31"/>
      <c r="H26" s="31"/>
      <c r="I26" s="109"/>
    </row>
    <row r="27" spans="1:9">
      <c r="A27" s="108"/>
      <c r="B27" s="31"/>
      <c r="C27" s="31"/>
      <c r="D27" s="27"/>
      <c r="E27" s="31"/>
      <c r="F27" s="31"/>
      <c r="G27" s="27"/>
      <c r="H27" s="31"/>
      <c r="I27" s="109"/>
    </row>
    <row r="28" spans="1:9">
      <c r="A28" s="108"/>
      <c r="B28" s="31"/>
      <c r="C28" s="31"/>
      <c r="D28" s="31"/>
      <c r="E28" s="27"/>
      <c r="F28" s="27"/>
      <c r="G28" s="31"/>
      <c r="H28" s="31"/>
      <c r="I28" s="109"/>
    </row>
    <row r="29" spans="1:9">
      <c r="A29" s="108"/>
      <c r="B29" s="31"/>
      <c r="C29" s="31"/>
      <c r="D29" s="31"/>
      <c r="E29" s="26"/>
      <c r="F29" s="31"/>
      <c r="G29" s="31"/>
      <c r="H29" s="31"/>
      <c r="I29" s="109"/>
    </row>
    <row r="30" spans="1:9">
      <c r="A30" s="108"/>
      <c r="B30" s="31"/>
      <c r="C30" s="31"/>
      <c r="D30" s="31"/>
      <c r="E30" s="31"/>
      <c r="F30" s="31"/>
      <c r="G30" s="31"/>
      <c r="H30" s="31"/>
      <c r="I30" s="109"/>
    </row>
    <row r="31" spans="1:9">
      <c r="A31" s="108"/>
      <c r="B31" s="31"/>
      <c r="C31" s="31"/>
      <c r="D31" s="31"/>
      <c r="E31" s="31"/>
      <c r="F31" s="31"/>
      <c r="G31" s="31"/>
      <c r="H31" s="31"/>
      <c r="I31" s="109"/>
    </row>
    <row r="32" spans="1:9">
      <c r="A32" s="108"/>
      <c r="B32" s="31"/>
      <c r="C32" s="31"/>
      <c r="D32" s="31"/>
      <c r="E32" s="31"/>
      <c r="F32" s="31"/>
      <c r="G32" s="31"/>
      <c r="H32" s="31"/>
      <c r="I32" s="109"/>
    </row>
    <row r="33" spans="1:9">
      <c r="A33" s="108"/>
      <c r="B33" s="31"/>
      <c r="C33" s="31"/>
      <c r="D33" s="31"/>
      <c r="E33" s="31"/>
      <c r="F33" s="31"/>
      <c r="G33" s="31"/>
      <c r="H33" s="31"/>
      <c r="I33" s="109"/>
    </row>
    <row r="34" spans="1:9">
      <c r="A34" s="108"/>
      <c r="B34" s="31"/>
      <c r="C34" s="31"/>
      <c r="D34" s="31"/>
      <c r="E34" s="31"/>
      <c r="F34" s="31"/>
      <c r="G34" s="31"/>
      <c r="H34" s="31"/>
      <c r="I34" s="109"/>
    </row>
    <row r="35" spans="1:9">
      <c r="A35" s="108"/>
      <c r="B35" s="31"/>
      <c r="C35" s="31"/>
      <c r="D35" s="31"/>
      <c r="E35" s="31"/>
      <c r="F35" s="31"/>
      <c r="G35" s="31"/>
      <c r="H35" s="31"/>
      <c r="I35" s="109"/>
    </row>
    <row r="36" spans="1:9">
      <c r="A36" s="52"/>
      <c r="I36" s="5"/>
    </row>
    <row r="37" spans="1:9">
      <c r="A37" s="52"/>
      <c r="I37" s="5"/>
    </row>
    <row r="38" spans="1:9">
      <c r="A38" s="52"/>
      <c r="I38" s="5"/>
    </row>
    <row r="39" spans="1:9" ht="15.75" thickBot="1">
      <c r="A39" s="52"/>
      <c r="I39" s="5"/>
    </row>
    <row r="40" spans="1:9">
      <c r="A40" s="52"/>
      <c r="C40" s="111" t="str">
        <f>general!$AG$125</f>
        <v>RAHMEN -  HÖHERGEFÜHRTER BESCHLAG (HL)</v>
      </c>
      <c r="D40" s="112"/>
      <c r="E40" s="112"/>
      <c r="F40" s="112"/>
      <c r="G40" s="112"/>
      <c r="H40" s="112"/>
      <c r="I40" s="113"/>
    </row>
    <row r="41" spans="1:9" ht="15.75" thickBot="1">
      <c r="A41" s="52"/>
      <c r="C41" s="114"/>
      <c r="D41" s="115"/>
      <c r="E41" s="115"/>
      <c r="F41" s="115"/>
      <c r="G41" s="115"/>
      <c r="H41" s="115"/>
      <c r="I41" s="116"/>
    </row>
    <row r="42" spans="1:9" ht="15.75" thickBot="1">
      <c r="A42" s="52"/>
      <c r="C42" s="171" t="str">
        <f>general!$AG$101</f>
        <v>Bedienung</v>
      </c>
      <c r="D42" s="172"/>
      <c r="E42" s="111" t="str">
        <f>general!$AG$107</f>
        <v>Antrieb - links</v>
      </c>
      <c r="F42" s="112"/>
      <c r="G42" s="113"/>
      <c r="H42" s="177"/>
      <c r="I42" s="177"/>
    </row>
    <row r="43" spans="1:9" ht="15.75" thickBot="1">
      <c r="A43" s="52"/>
      <c r="C43" s="173"/>
      <c r="D43" s="174"/>
      <c r="E43" s="114"/>
      <c r="F43" s="115"/>
      <c r="G43" s="116"/>
      <c r="H43" s="177"/>
      <c r="I43" s="177"/>
    </row>
    <row r="44" spans="1:9" ht="15.75" thickBot="1">
      <c r="A44" s="52"/>
      <c r="C44" s="171" t="str">
        <f>general!$R$61</f>
        <v>Aufgestellt:</v>
      </c>
      <c r="D44" s="172"/>
      <c r="E44" s="178"/>
      <c r="F44" s="178"/>
      <c r="G44" s="178"/>
      <c r="H44" s="177"/>
      <c r="I44" s="177"/>
    </row>
    <row r="45" spans="1:9" ht="15.75" thickBot="1">
      <c r="A45" s="52"/>
      <c r="C45" s="173"/>
      <c r="D45" s="174"/>
      <c r="E45" s="178"/>
      <c r="F45" s="178"/>
      <c r="G45" s="178"/>
      <c r="H45" s="177"/>
      <c r="I45" s="177"/>
    </row>
    <row r="46" spans="1:9" ht="15.75" thickBot="1">
      <c r="A46" s="52"/>
      <c r="C46" s="171" t="str">
        <f>general!$T$61</f>
        <v>Bereinigt:</v>
      </c>
      <c r="D46" s="172"/>
      <c r="E46" s="178"/>
      <c r="F46" s="178"/>
      <c r="G46" s="178"/>
      <c r="H46" s="177"/>
      <c r="I46" s="177"/>
    </row>
    <row r="47" spans="1:9" ht="15.75" thickBot="1">
      <c r="A47" s="52"/>
      <c r="C47" s="173"/>
      <c r="D47" s="174"/>
      <c r="E47" s="178"/>
      <c r="F47" s="178"/>
      <c r="G47" s="178"/>
      <c r="H47" s="177"/>
      <c r="I47" s="177"/>
    </row>
    <row r="48" spans="1:9" ht="15.75" thickBot="1">
      <c r="A48" s="52"/>
      <c r="C48" s="171" t="str">
        <f>general!$Z$61</f>
        <v>Datum:</v>
      </c>
      <c r="D48" s="172"/>
      <c r="E48" s="175"/>
      <c r="F48" s="175"/>
      <c r="G48" s="175"/>
      <c r="H48" s="177"/>
      <c r="I48" s="177"/>
    </row>
    <row r="49" spans="1:9" ht="15.75" thickBot="1">
      <c r="A49" s="99"/>
      <c r="B49" s="1"/>
      <c r="C49" s="173"/>
      <c r="D49" s="174"/>
      <c r="E49" s="175"/>
      <c r="F49" s="175"/>
      <c r="G49" s="175"/>
      <c r="H49" s="177"/>
      <c r="I49" s="177"/>
    </row>
  </sheetData>
  <sheetProtection algorithmName="SHA-512" hashValue="15of/Ljs4iO53VFRDxr3OYyl6Uu3CNm9KcCi1wKjqnHUpQVOOosgjad7XGUyZGq8vhU/mcL4mTM0cWOLmQ5HXQ==" saltValue="7X50hUopvnFKd6GeRH888g==" spinCount="100000" sheet="1" selectLockedCells="1"/>
  <mergeCells count="14">
    <mergeCell ref="I6:I9"/>
    <mergeCell ref="A15:A18"/>
    <mergeCell ref="I15:I18"/>
    <mergeCell ref="C40:I41"/>
    <mergeCell ref="C42:D43"/>
    <mergeCell ref="E42:G43"/>
    <mergeCell ref="H42:I49"/>
    <mergeCell ref="C44:D45"/>
    <mergeCell ref="E44:G45"/>
    <mergeCell ref="C46:D47"/>
    <mergeCell ref="E46:G47"/>
    <mergeCell ref="C48:D49"/>
    <mergeCell ref="E48:G49"/>
    <mergeCell ref="A6:A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FEE92-6C66-480C-8B0B-D881AFF10AE9}">
  <sheetPr codeName="List5"/>
  <dimension ref="A1:I49"/>
  <sheetViews>
    <sheetView showGridLines="0" view="pageBreakPreview" topLeftCell="A30" zoomScaleNormal="100" zoomScaleSheetLayoutView="100" workbookViewId="0">
      <selection activeCell="E48" sqref="E48:G49"/>
    </sheetView>
  </sheetViews>
  <sheetFormatPr baseColWidth="10" defaultColWidth="9.140625" defaultRowHeight="15"/>
  <sheetData>
    <row r="1" spans="1:9">
      <c r="A1" s="105"/>
      <c r="B1" s="106"/>
      <c r="C1" s="106"/>
      <c r="D1" s="106"/>
      <c r="E1" s="106"/>
      <c r="F1" s="106"/>
      <c r="G1" s="106"/>
      <c r="H1" s="106"/>
      <c r="I1" s="107"/>
    </row>
    <row r="2" spans="1:9">
      <c r="A2" s="108"/>
      <c r="B2" s="31"/>
      <c r="C2" s="31"/>
      <c r="D2" s="31"/>
      <c r="E2" s="31"/>
      <c r="F2" s="31"/>
      <c r="G2" s="31"/>
      <c r="H2" s="31"/>
      <c r="I2" s="109"/>
    </row>
    <row r="3" spans="1:9">
      <c r="A3" s="108"/>
      <c r="B3" s="31"/>
      <c r="C3" s="27"/>
      <c r="D3" s="31"/>
      <c r="E3" s="31"/>
      <c r="F3" s="31"/>
      <c r="G3" s="31"/>
      <c r="H3" s="31"/>
      <c r="I3" s="109"/>
    </row>
    <row r="4" spans="1:9">
      <c r="A4" s="108"/>
      <c r="B4" s="26"/>
      <c r="C4" s="31"/>
      <c r="D4" s="31"/>
      <c r="E4" s="31"/>
      <c r="F4" s="31"/>
      <c r="G4" s="31"/>
      <c r="H4" s="31"/>
      <c r="I4" s="109"/>
    </row>
    <row r="5" spans="1:9">
      <c r="A5" s="108"/>
      <c r="B5" s="31"/>
      <c r="C5" s="31"/>
      <c r="D5" s="31"/>
      <c r="E5" s="31"/>
      <c r="F5" s="31"/>
      <c r="G5" s="31"/>
      <c r="H5" s="31"/>
      <c r="I5" s="109"/>
    </row>
    <row r="6" spans="1:9">
      <c r="A6" s="143"/>
      <c r="B6" s="31"/>
      <c r="C6" s="31"/>
      <c r="D6" s="31"/>
      <c r="E6" s="31"/>
      <c r="F6" s="31"/>
      <c r="G6" s="31"/>
      <c r="H6" s="31"/>
      <c r="I6" s="109"/>
    </row>
    <row r="7" spans="1:9">
      <c r="A7" s="143"/>
      <c r="B7" s="31"/>
      <c r="C7" s="31"/>
      <c r="D7" s="31"/>
      <c r="E7" s="31"/>
      <c r="F7" s="31"/>
      <c r="G7" s="31"/>
      <c r="H7" s="31"/>
      <c r="I7" s="109"/>
    </row>
    <row r="8" spans="1:9">
      <c r="A8" s="143"/>
      <c r="B8" s="31"/>
      <c r="C8" s="31"/>
      <c r="D8" s="31"/>
      <c r="E8" s="31"/>
      <c r="F8" s="31"/>
      <c r="G8" s="31"/>
      <c r="H8" s="31"/>
      <c r="I8" s="109"/>
    </row>
    <row r="9" spans="1:9">
      <c r="A9" s="143"/>
      <c r="B9" s="31"/>
      <c r="C9" s="31"/>
      <c r="D9" s="31"/>
      <c r="E9" s="31"/>
      <c r="F9" s="31"/>
      <c r="G9" s="31"/>
      <c r="H9" s="31"/>
      <c r="I9" s="109"/>
    </row>
    <row r="10" spans="1:9">
      <c r="A10" s="108"/>
      <c r="B10" s="31"/>
      <c r="C10" s="31"/>
      <c r="D10" s="31"/>
      <c r="E10" s="31"/>
      <c r="F10" s="31"/>
      <c r="G10" s="31"/>
      <c r="H10" s="31"/>
      <c r="I10" s="109"/>
    </row>
    <row r="11" spans="1:9">
      <c r="A11" s="108"/>
      <c r="B11" s="31"/>
      <c r="C11" s="31"/>
      <c r="D11" s="31"/>
      <c r="E11" s="31"/>
      <c r="F11" s="31"/>
      <c r="G11" s="31"/>
      <c r="H11" s="31"/>
      <c r="I11" s="109"/>
    </row>
    <row r="12" spans="1:9">
      <c r="A12" s="108"/>
      <c r="B12" s="31"/>
      <c r="C12" s="31"/>
      <c r="D12" s="31"/>
      <c r="E12" s="31"/>
      <c r="F12" s="31"/>
      <c r="G12" s="31"/>
      <c r="H12" s="31"/>
      <c r="I12" s="109"/>
    </row>
    <row r="13" spans="1:9">
      <c r="A13" s="108"/>
      <c r="B13" s="31"/>
      <c r="C13" s="31"/>
      <c r="D13" s="31"/>
      <c r="E13" s="31"/>
      <c r="F13" s="31"/>
      <c r="G13" s="31"/>
      <c r="H13" s="31"/>
      <c r="I13" s="109"/>
    </row>
    <row r="14" spans="1:9">
      <c r="A14" s="108"/>
      <c r="B14" s="31"/>
      <c r="C14" s="31"/>
      <c r="D14" s="31"/>
      <c r="E14" s="31"/>
      <c r="F14" s="31"/>
      <c r="G14" s="31"/>
      <c r="H14" s="31"/>
      <c r="I14" s="109"/>
    </row>
    <row r="15" spans="1:9">
      <c r="A15" s="176"/>
      <c r="B15" s="31"/>
      <c r="C15" s="31"/>
      <c r="D15" s="31"/>
      <c r="E15" s="31"/>
      <c r="F15" s="31"/>
      <c r="G15" s="31"/>
      <c r="H15" s="31"/>
      <c r="I15" s="109"/>
    </row>
    <row r="16" spans="1:9">
      <c r="A16" s="176"/>
      <c r="B16" s="31"/>
      <c r="C16" s="31"/>
      <c r="D16" s="31"/>
      <c r="E16" s="31"/>
      <c r="F16" s="31"/>
      <c r="G16" s="31"/>
      <c r="H16" s="31"/>
      <c r="I16" s="109"/>
    </row>
    <row r="17" spans="1:9">
      <c r="A17" s="176"/>
      <c r="B17" s="31"/>
      <c r="C17" s="31"/>
      <c r="D17" s="31"/>
      <c r="E17" s="31"/>
      <c r="F17" s="31"/>
      <c r="G17" s="31"/>
      <c r="H17" s="31"/>
      <c r="I17" s="109"/>
    </row>
    <row r="18" spans="1:9">
      <c r="A18" s="176"/>
      <c r="B18" s="31"/>
      <c r="C18" s="31"/>
      <c r="D18" s="31"/>
      <c r="E18" s="31"/>
      <c r="F18" s="31"/>
      <c r="G18" s="31"/>
      <c r="H18" s="31"/>
      <c r="I18" s="109"/>
    </row>
    <row r="19" spans="1:9">
      <c r="A19" s="108"/>
      <c r="B19" s="31"/>
      <c r="C19" s="31"/>
      <c r="D19" s="31"/>
      <c r="E19" s="31"/>
      <c r="F19" s="31"/>
      <c r="G19" s="31"/>
      <c r="H19" s="31"/>
      <c r="I19" s="109"/>
    </row>
    <row r="20" spans="1:9">
      <c r="A20" s="108"/>
      <c r="B20" s="31"/>
      <c r="C20" s="31"/>
      <c r="D20" s="31"/>
      <c r="E20" s="31"/>
      <c r="F20" s="31"/>
      <c r="G20" s="31"/>
      <c r="H20" s="31"/>
      <c r="I20" s="109"/>
    </row>
    <row r="21" spans="1:9">
      <c r="A21" s="108"/>
      <c r="B21" s="31"/>
      <c r="C21" s="31"/>
      <c r="D21" s="31"/>
      <c r="E21" s="31"/>
      <c r="F21" s="31"/>
      <c r="G21" s="31"/>
      <c r="H21" s="31"/>
      <c r="I21" s="109"/>
    </row>
    <row r="22" spans="1:9">
      <c r="A22" s="108"/>
      <c r="B22" s="31"/>
      <c r="C22" s="31"/>
      <c r="D22" s="31"/>
      <c r="E22" s="31"/>
      <c r="F22" s="31"/>
      <c r="G22" s="31"/>
      <c r="H22" s="31"/>
      <c r="I22" s="109"/>
    </row>
    <row r="23" spans="1:9">
      <c r="A23" s="108"/>
      <c r="B23" s="31"/>
      <c r="C23" s="31"/>
      <c r="D23" s="31"/>
      <c r="E23" s="31"/>
      <c r="F23" s="31"/>
      <c r="G23" s="31"/>
      <c r="H23" s="31"/>
      <c r="I23" s="109"/>
    </row>
    <row r="24" spans="1:9">
      <c r="A24" s="108"/>
      <c r="B24" s="31"/>
      <c r="C24" s="31"/>
      <c r="D24" s="31"/>
      <c r="E24" s="31"/>
      <c r="F24" s="31"/>
      <c r="G24" s="31"/>
      <c r="H24" s="31"/>
      <c r="I24" s="109"/>
    </row>
    <row r="25" spans="1:9">
      <c r="A25" s="108"/>
      <c r="B25" s="31"/>
      <c r="C25" s="31"/>
      <c r="D25" s="31"/>
      <c r="E25" s="31"/>
      <c r="F25" s="31"/>
      <c r="G25" s="31"/>
      <c r="H25" s="31"/>
      <c r="I25" s="109"/>
    </row>
    <row r="26" spans="1:9">
      <c r="A26" s="108"/>
      <c r="B26" s="31"/>
      <c r="C26" s="31"/>
      <c r="D26" s="31"/>
      <c r="E26" s="31"/>
      <c r="F26" s="31"/>
      <c r="G26" s="31"/>
      <c r="H26" s="31"/>
      <c r="I26" s="109"/>
    </row>
    <row r="27" spans="1:9">
      <c r="A27" s="108"/>
      <c r="B27" s="31"/>
      <c r="C27" s="31"/>
      <c r="D27" s="27"/>
      <c r="E27" s="31"/>
      <c r="F27" s="31"/>
      <c r="G27" s="27"/>
      <c r="H27" s="31"/>
      <c r="I27" s="109"/>
    </row>
    <row r="28" spans="1:9">
      <c r="A28" s="108"/>
      <c r="B28" s="31"/>
      <c r="C28" s="31"/>
      <c r="D28" s="31"/>
      <c r="E28" s="31"/>
      <c r="F28" s="27"/>
      <c r="G28" s="31"/>
      <c r="H28" s="31"/>
      <c r="I28" s="109"/>
    </row>
    <row r="29" spans="1:9">
      <c r="A29" s="108"/>
      <c r="B29" s="31"/>
      <c r="C29" s="31"/>
      <c r="D29" s="31"/>
      <c r="E29" s="31"/>
      <c r="F29" s="27"/>
      <c r="G29" s="31"/>
      <c r="H29" s="31"/>
      <c r="I29" s="109"/>
    </row>
    <row r="30" spans="1:9">
      <c r="A30" s="108"/>
      <c r="B30" s="31"/>
      <c r="C30" s="31"/>
      <c r="D30" s="31"/>
      <c r="E30" s="31"/>
      <c r="F30" s="31"/>
      <c r="G30" s="31"/>
      <c r="H30" s="31"/>
      <c r="I30" s="109"/>
    </row>
    <row r="31" spans="1:9">
      <c r="A31" s="108"/>
      <c r="B31" s="31"/>
      <c r="C31" s="31"/>
      <c r="D31" s="31"/>
      <c r="E31" s="31"/>
      <c r="F31" s="31"/>
      <c r="G31" s="31"/>
      <c r="H31" s="31"/>
      <c r="I31" s="109"/>
    </row>
    <row r="32" spans="1:9">
      <c r="A32" s="108"/>
      <c r="B32" s="31"/>
      <c r="C32" s="31"/>
      <c r="D32" s="31"/>
      <c r="E32" s="31"/>
      <c r="F32" s="31"/>
      <c r="G32" s="31"/>
      <c r="H32" s="31"/>
      <c r="I32" s="109"/>
    </row>
    <row r="33" spans="1:9">
      <c r="A33" s="108"/>
      <c r="B33" s="31"/>
      <c r="C33" s="31"/>
      <c r="D33" s="31"/>
      <c r="E33" s="31"/>
      <c r="F33" s="31"/>
      <c r="G33" s="31"/>
      <c r="H33" s="31"/>
      <c r="I33" s="109"/>
    </row>
    <row r="34" spans="1:9">
      <c r="A34" s="52"/>
      <c r="I34" s="5"/>
    </row>
    <row r="35" spans="1:9">
      <c r="A35" s="52"/>
      <c r="I35" s="5"/>
    </row>
    <row r="36" spans="1:9">
      <c r="A36" s="52"/>
      <c r="I36" s="5"/>
    </row>
    <row r="37" spans="1:9">
      <c r="A37" s="52"/>
      <c r="I37" s="5"/>
    </row>
    <row r="38" spans="1:9">
      <c r="A38" s="52"/>
      <c r="I38" s="5"/>
    </row>
    <row r="39" spans="1:9" ht="15.75" thickBot="1">
      <c r="A39" s="52"/>
      <c r="I39" s="5"/>
    </row>
    <row r="40" spans="1:9">
      <c r="A40" s="52"/>
      <c r="C40" s="111" t="str">
        <f>general!AG125</f>
        <v>RAHMEN -  HÖHERGEFÜHRTER BESCHLAG (HL)</v>
      </c>
      <c r="D40" s="112"/>
      <c r="E40" s="112"/>
      <c r="F40" s="112"/>
      <c r="G40" s="112"/>
      <c r="H40" s="112"/>
      <c r="I40" s="113"/>
    </row>
    <row r="41" spans="1:9" ht="15.75" thickBot="1">
      <c r="A41" s="52"/>
      <c r="C41" s="114"/>
      <c r="D41" s="115"/>
      <c r="E41" s="115"/>
      <c r="F41" s="115"/>
      <c r="G41" s="115"/>
      <c r="H41" s="115"/>
      <c r="I41" s="116"/>
    </row>
    <row r="42" spans="1:9" ht="15.75" thickBot="1">
      <c r="A42" s="52"/>
      <c r="C42" s="171" t="str">
        <f>general!$AG$101</f>
        <v>Bedienung</v>
      </c>
      <c r="D42" s="172"/>
      <c r="E42" s="111" t="str">
        <f>general!$AG$102</f>
        <v>hand</v>
      </c>
      <c r="F42" s="112"/>
      <c r="G42" s="113"/>
      <c r="H42" s="177"/>
      <c r="I42" s="177"/>
    </row>
    <row r="43" spans="1:9" ht="15.75" thickBot="1">
      <c r="A43" s="52"/>
      <c r="C43" s="173"/>
      <c r="D43" s="174"/>
      <c r="E43" s="114"/>
      <c r="F43" s="115"/>
      <c r="G43" s="116"/>
      <c r="H43" s="177"/>
      <c r="I43" s="177"/>
    </row>
    <row r="44" spans="1:9" ht="15.75" thickBot="1">
      <c r="A44" s="52"/>
      <c r="C44" s="171" t="str">
        <f>general!$R$61</f>
        <v>Aufgestellt:</v>
      </c>
      <c r="D44" s="172"/>
      <c r="E44" s="178"/>
      <c r="F44" s="178"/>
      <c r="G44" s="178"/>
      <c r="H44" s="177"/>
      <c r="I44" s="177"/>
    </row>
    <row r="45" spans="1:9" ht="15.75" thickBot="1">
      <c r="A45" s="52"/>
      <c r="C45" s="173"/>
      <c r="D45" s="174"/>
      <c r="E45" s="178"/>
      <c r="F45" s="178"/>
      <c r="G45" s="178"/>
      <c r="H45" s="177"/>
      <c r="I45" s="177"/>
    </row>
    <row r="46" spans="1:9" ht="15.75" thickBot="1">
      <c r="A46" s="52"/>
      <c r="C46" s="171" t="str">
        <f>general!$T$61</f>
        <v>Bereinigt:</v>
      </c>
      <c r="D46" s="172"/>
      <c r="E46" s="178"/>
      <c r="F46" s="178"/>
      <c r="G46" s="178"/>
      <c r="H46" s="177"/>
      <c r="I46" s="177"/>
    </row>
    <row r="47" spans="1:9" ht="15.75" thickBot="1">
      <c r="A47" s="52"/>
      <c r="C47" s="173"/>
      <c r="D47" s="174"/>
      <c r="E47" s="178"/>
      <c r="F47" s="178"/>
      <c r="G47" s="178"/>
      <c r="H47" s="177"/>
      <c r="I47" s="177"/>
    </row>
    <row r="48" spans="1:9" ht="15.75" thickBot="1">
      <c r="A48" s="52"/>
      <c r="C48" s="171" t="str">
        <f>general!$Z$61</f>
        <v>Datum:</v>
      </c>
      <c r="D48" s="172"/>
      <c r="E48" s="175"/>
      <c r="F48" s="175"/>
      <c r="G48" s="175"/>
      <c r="H48" s="177"/>
      <c r="I48" s="177"/>
    </row>
    <row r="49" spans="1:9" ht="15.75" thickBot="1">
      <c r="A49" s="99"/>
      <c r="B49" s="1"/>
      <c r="C49" s="173"/>
      <c r="D49" s="174"/>
      <c r="E49" s="175"/>
      <c r="F49" s="175"/>
      <c r="G49" s="175"/>
      <c r="H49" s="177"/>
      <c r="I49" s="177"/>
    </row>
  </sheetData>
  <sheetProtection sheet="1" selectLockedCells="1"/>
  <mergeCells count="12">
    <mergeCell ref="C48:D49"/>
    <mergeCell ref="E48:G49"/>
    <mergeCell ref="A6:A9"/>
    <mergeCell ref="A15:A18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B5EA-2DC1-47AF-B32F-A095EA8040C5}">
  <sheetPr codeName="List4"/>
  <dimension ref="D6:AE152"/>
  <sheetViews>
    <sheetView topLeftCell="F13" zoomScaleNormal="100" workbookViewId="0">
      <selection activeCell="N24" sqref="N24"/>
    </sheetView>
  </sheetViews>
  <sheetFormatPr baseColWidth="10" defaultColWidth="9.140625" defaultRowHeight="15"/>
  <cols>
    <col min="21" max="21" width="11" customWidth="1"/>
    <col min="22" max="22" width="18.5703125" bestFit="1" customWidth="1"/>
    <col min="24" max="24" width="2.42578125" customWidth="1"/>
    <col min="26" max="26" width="14.85546875" customWidth="1"/>
  </cols>
  <sheetData>
    <row r="6" spans="14:31">
      <c r="Y6" s="181" t="s">
        <v>865</v>
      </c>
      <c r="Z6" s="181"/>
      <c r="AA6" s="181"/>
      <c r="AB6" s="181"/>
      <c r="AC6" s="181"/>
      <c r="AD6" s="181"/>
      <c r="AE6" s="181"/>
    </row>
    <row r="7" spans="14:31">
      <c r="Y7" s="181"/>
      <c r="Z7" s="181"/>
      <c r="AA7" s="181"/>
      <c r="AB7" s="181"/>
      <c r="AC7" s="181"/>
      <c r="AD7" s="181"/>
      <c r="AE7" s="181"/>
    </row>
    <row r="8" spans="14:31">
      <c r="Y8" s="181"/>
      <c r="Z8" s="181"/>
      <c r="AA8" s="181"/>
      <c r="AB8" s="181"/>
      <c r="AC8" s="181"/>
      <c r="AD8" s="181"/>
      <c r="AE8" s="181"/>
    </row>
    <row r="10" spans="14:31">
      <c r="Y10" t="s">
        <v>866</v>
      </c>
      <c r="Z10" t="str">
        <f>IF(general!$K$13=general!$AG$123,general!$I$33+25,general!$I$33)</f>
        <v/>
      </c>
    </row>
    <row r="11" spans="14:31">
      <c r="Y11" t="s">
        <v>867</v>
      </c>
      <c r="Z11" t="str">
        <f>IF(general!$K$13=general!$AG$123,general!$I$32+25,general!$I$32)</f>
        <v/>
      </c>
    </row>
    <row r="12" spans="14:31">
      <c r="Y12" t="s">
        <v>868</v>
      </c>
      <c r="Z12">
        <f>general!K3</f>
        <v>0</v>
      </c>
    </row>
    <row r="13" spans="14:31">
      <c r="Y13" t="s">
        <v>869</v>
      </c>
      <c r="Z13" t="str">
        <f>IF(general!K3="","L+W+R ", Y13 &amp; Z10+Z11+Z12)</f>
        <v xml:space="preserve">L+W+R </v>
      </c>
    </row>
    <row r="14" spans="14:31">
      <c r="Y14" t="s">
        <v>870</v>
      </c>
      <c r="Z14" t="str">
        <f>IF(OR(general!$K$5="",general!$K$7=""),"HL ",Y14 &amp; general!P59)</f>
        <v xml:space="preserve">HL </v>
      </c>
    </row>
    <row r="16" spans="14:31">
      <c r="N16" s="19"/>
      <c r="O16" s="19"/>
      <c r="P16" s="19"/>
      <c r="Q16" s="19"/>
      <c r="R16" s="19"/>
      <c r="S16" s="19"/>
      <c r="T16" s="19"/>
      <c r="U16" s="19"/>
    </row>
    <row r="17" spans="4:24">
      <c r="N17" s="19"/>
      <c r="O17" s="19"/>
      <c r="P17" s="19"/>
      <c r="Q17" s="19"/>
      <c r="R17" s="19"/>
      <c r="S17" s="19"/>
      <c r="T17" s="19"/>
      <c r="U17" s="19"/>
    </row>
    <row r="18" spans="4:24">
      <c r="N18" s="19"/>
      <c r="O18" s="19"/>
      <c r="P18" s="19"/>
      <c r="Q18" s="19"/>
      <c r="R18" s="19"/>
      <c r="S18" s="19"/>
      <c r="T18" s="19"/>
      <c r="U18" s="19"/>
    </row>
    <row r="20" spans="4:24" ht="15" customHeight="1">
      <c r="D20" s="180" t="str">
        <f>general!AG108</f>
        <v>Antrieb - rechts</v>
      </c>
      <c r="E20" s="148"/>
      <c r="F20" s="148"/>
      <c r="G20" s="148"/>
      <c r="H20" s="148"/>
      <c r="I20" s="148"/>
      <c r="J20" s="148"/>
      <c r="K20" s="148"/>
    </row>
    <row r="21" spans="4:24">
      <c r="D21" s="180"/>
      <c r="E21" s="148"/>
      <c r="F21" s="148"/>
      <c r="G21" s="148"/>
      <c r="H21" s="148"/>
      <c r="I21" s="148"/>
      <c r="J21" s="148"/>
      <c r="K21" s="148"/>
    </row>
    <row r="22" spans="4:24">
      <c r="D22" s="180"/>
      <c r="E22" s="148"/>
      <c r="F22" s="148"/>
      <c r="G22" s="148"/>
      <c r="H22" s="148"/>
      <c r="I22" s="148"/>
      <c r="J22" s="148"/>
      <c r="K22" s="148"/>
    </row>
    <row r="23" spans="4:24">
      <c r="D23" s="180"/>
      <c r="E23" s="148"/>
      <c r="F23" s="148"/>
      <c r="G23" s="148"/>
      <c r="H23" s="148"/>
      <c r="I23" s="148"/>
      <c r="J23" s="148"/>
      <c r="K23" s="148"/>
      <c r="X23" s="44"/>
    </row>
    <row r="24" spans="4:24">
      <c r="D24" s="180"/>
      <c r="E24" s="148"/>
      <c r="F24" s="148"/>
      <c r="G24" s="148"/>
      <c r="H24" s="148"/>
      <c r="I24" s="148"/>
      <c r="J24" s="148"/>
      <c r="K24" s="148"/>
    </row>
    <row r="25" spans="4:24">
      <c r="D25" s="180"/>
      <c r="E25" s="148"/>
      <c r="F25" s="148"/>
      <c r="G25" s="148"/>
      <c r="H25" s="148"/>
      <c r="I25" s="148"/>
      <c r="J25" s="148"/>
      <c r="K25" s="148"/>
    </row>
    <row r="26" spans="4:24">
      <c r="D26" s="180"/>
      <c r="E26" s="148"/>
      <c r="F26" s="148"/>
      <c r="G26" s="148"/>
      <c r="H26" s="148"/>
      <c r="I26" s="148"/>
      <c r="J26" s="148"/>
      <c r="K26" s="148"/>
    </row>
    <row r="27" spans="4:24">
      <c r="D27" s="180"/>
      <c r="E27" s="148"/>
      <c r="F27" s="148"/>
      <c r="G27" s="148"/>
      <c r="H27" s="148"/>
      <c r="I27" s="148"/>
      <c r="J27" s="148"/>
      <c r="K27" s="148"/>
    </row>
    <row r="28" spans="4:24">
      <c r="D28" s="180"/>
      <c r="E28" s="148"/>
      <c r="F28" s="148"/>
      <c r="G28" s="148"/>
      <c r="H28" s="148"/>
      <c r="I28" s="148"/>
      <c r="J28" s="148"/>
      <c r="K28" s="148"/>
      <c r="L28" s="110"/>
    </row>
    <row r="29" spans="4:24">
      <c r="D29" s="180"/>
      <c r="E29" s="148"/>
      <c r="F29" s="148"/>
      <c r="G29" s="148"/>
      <c r="H29" s="148"/>
      <c r="I29" s="148"/>
      <c r="J29" s="148"/>
      <c r="K29" s="148"/>
    </row>
    <row r="30" spans="4:24">
      <c r="D30" s="180"/>
      <c r="E30" s="148"/>
      <c r="F30" s="148"/>
      <c r="G30" s="148"/>
      <c r="H30" s="148"/>
      <c r="I30" s="148"/>
      <c r="J30" s="148"/>
      <c r="K30" s="148"/>
    </row>
    <row r="31" spans="4:24">
      <c r="D31" s="180"/>
      <c r="E31" s="148"/>
      <c r="F31" s="148"/>
      <c r="G31" s="148"/>
      <c r="H31" s="148"/>
      <c r="I31" s="148"/>
      <c r="J31" s="148"/>
      <c r="K31" s="148"/>
    </row>
    <row r="32" spans="4:24">
      <c r="D32" s="180"/>
      <c r="E32" s="148"/>
      <c r="F32" s="148"/>
      <c r="G32" s="148"/>
      <c r="H32" s="148"/>
      <c r="I32" s="148"/>
      <c r="J32" s="148"/>
      <c r="K32" s="148"/>
    </row>
    <row r="33" spans="4:11">
      <c r="D33" s="180"/>
      <c r="E33" s="148"/>
      <c r="F33" s="148"/>
      <c r="G33" s="148"/>
      <c r="H33" s="148"/>
      <c r="I33" s="148"/>
      <c r="J33" s="148"/>
      <c r="K33" s="148"/>
    </row>
    <row r="34" spans="4:11">
      <c r="D34" s="180"/>
      <c r="E34" s="148"/>
      <c r="F34" s="148"/>
      <c r="G34" s="148"/>
      <c r="H34" s="148"/>
      <c r="I34" s="148"/>
      <c r="J34" s="148"/>
      <c r="K34" s="148"/>
    </row>
    <row r="35" spans="4:11">
      <c r="D35" s="180"/>
      <c r="E35" s="148"/>
      <c r="F35" s="148"/>
      <c r="G35" s="148"/>
      <c r="H35" s="148"/>
      <c r="I35" s="148"/>
      <c r="J35" s="148"/>
      <c r="K35" s="148"/>
    </row>
    <row r="36" spans="4:11">
      <c r="D36" s="180"/>
      <c r="E36" s="148"/>
      <c r="F36" s="148"/>
      <c r="G36" s="148"/>
      <c r="H36" s="148"/>
      <c r="I36" s="148"/>
      <c r="J36" s="148"/>
      <c r="K36" s="148"/>
    </row>
    <row r="37" spans="4:11">
      <c r="D37" s="180"/>
      <c r="E37" s="148"/>
      <c r="F37" s="148"/>
      <c r="G37" s="148"/>
      <c r="H37" s="148"/>
      <c r="I37" s="148"/>
      <c r="J37" s="148"/>
      <c r="K37" s="148"/>
    </row>
    <row r="38" spans="4:11">
      <c r="D38" s="180"/>
      <c r="E38" s="148"/>
      <c r="F38" s="148"/>
      <c r="G38" s="148"/>
      <c r="H38" s="148"/>
      <c r="I38" s="148"/>
      <c r="J38" s="148"/>
      <c r="K38" s="148"/>
    </row>
    <row r="39" spans="4:11">
      <c r="D39" s="180"/>
      <c r="E39" s="148"/>
      <c r="F39" s="148"/>
      <c r="G39" s="148"/>
      <c r="H39" s="148"/>
      <c r="I39" s="148"/>
      <c r="J39" s="148"/>
      <c r="K39" s="148"/>
    </row>
    <row r="40" spans="4:11">
      <c r="D40" s="180"/>
      <c r="E40" s="148"/>
      <c r="F40" s="148"/>
      <c r="G40" s="148"/>
      <c r="H40" s="148"/>
      <c r="I40" s="148"/>
      <c r="J40" s="148"/>
      <c r="K40" s="148"/>
    </row>
    <row r="41" spans="4:11">
      <c r="D41" s="180"/>
      <c r="E41" s="148"/>
      <c r="F41" s="148"/>
      <c r="G41" s="148"/>
      <c r="H41" s="148"/>
      <c r="I41" s="148"/>
      <c r="J41" s="148"/>
      <c r="K41" s="148"/>
    </row>
    <row r="42" spans="4:11">
      <c r="D42" s="180"/>
      <c r="E42" s="148"/>
      <c r="F42" s="148"/>
      <c r="G42" s="148"/>
      <c r="H42" s="148"/>
      <c r="I42" s="148"/>
      <c r="J42" s="148"/>
      <c r="K42" s="148"/>
    </row>
    <row r="43" spans="4:11">
      <c r="D43" s="180"/>
      <c r="E43" s="148"/>
      <c r="F43" s="148"/>
      <c r="G43" s="148"/>
      <c r="H43" s="148"/>
      <c r="I43" s="148"/>
      <c r="J43" s="148"/>
      <c r="K43" s="148"/>
    </row>
    <row r="44" spans="4:11">
      <c r="D44" s="180"/>
      <c r="E44" s="148"/>
      <c r="F44" s="148"/>
      <c r="G44" s="148"/>
      <c r="H44" s="148"/>
      <c r="I44" s="148"/>
      <c r="J44" s="148"/>
      <c r="K44" s="148"/>
    </row>
    <row r="45" spans="4:11">
      <c r="D45" s="43"/>
    </row>
    <row r="46" spans="4:11">
      <c r="D46" s="43"/>
    </row>
    <row r="47" spans="4:11" ht="15" customHeight="1">
      <c r="D47" s="180" t="str">
        <f>general!AG107</f>
        <v>Antrieb - links</v>
      </c>
      <c r="E47" s="148"/>
      <c r="F47" s="148"/>
      <c r="G47" s="148"/>
      <c r="H47" s="148"/>
      <c r="I47" s="148"/>
      <c r="J47" s="148"/>
      <c r="K47" s="148"/>
    </row>
    <row r="48" spans="4:11">
      <c r="D48" s="180"/>
      <c r="E48" s="148"/>
      <c r="F48" s="148"/>
      <c r="G48" s="148"/>
      <c r="H48" s="148"/>
      <c r="I48" s="148"/>
      <c r="J48" s="148"/>
      <c r="K48" s="148"/>
    </row>
    <row r="49" spans="4:11">
      <c r="D49" s="180"/>
      <c r="E49" s="148"/>
      <c r="F49" s="148"/>
      <c r="G49" s="148"/>
      <c r="H49" s="148"/>
      <c r="I49" s="148"/>
      <c r="J49" s="148"/>
      <c r="K49" s="148"/>
    </row>
    <row r="50" spans="4:11">
      <c r="D50" s="180"/>
      <c r="E50" s="148"/>
      <c r="F50" s="148"/>
      <c r="G50" s="148"/>
      <c r="H50" s="148"/>
      <c r="I50" s="148"/>
      <c r="J50" s="148"/>
      <c r="K50" s="148"/>
    </row>
    <row r="51" spans="4:11">
      <c r="D51" s="180"/>
      <c r="E51" s="148"/>
      <c r="F51" s="148"/>
      <c r="G51" s="148"/>
      <c r="H51" s="148"/>
      <c r="I51" s="148"/>
      <c r="J51" s="148"/>
      <c r="K51" s="148"/>
    </row>
    <row r="52" spans="4:11">
      <c r="D52" s="180"/>
      <c r="E52" s="148"/>
      <c r="F52" s="148"/>
      <c r="G52" s="148"/>
      <c r="H52" s="148"/>
      <c r="I52" s="148"/>
      <c r="J52" s="148"/>
      <c r="K52" s="148"/>
    </row>
    <row r="53" spans="4:11">
      <c r="D53" s="180"/>
      <c r="E53" s="148"/>
      <c r="F53" s="148"/>
      <c r="G53" s="148"/>
      <c r="H53" s="148"/>
      <c r="I53" s="148"/>
      <c r="J53" s="148"/>
      <c r="K53" s="148"/>
    </row>
    <row r="54" spans="4:11">
      <c r="D54" s="180"/>
      <c r="E54" s="148"/>
      <c r="F54" s="148"/>
      <c r="G54" s="148"/>
      <c r="H54" s="148"/>
      <c r="I54" s="148"/>
      <c r="J54" s="148"/>
      <c r="K54" s="148"/>
    </row>
    <row r="55" spans="4:11">
      <c r="D55" s="180"/>
      <c r="E55" s="148"/>
      <c r="F55" s="148"/>
      <c r="G55" s="148"/>
      <c r="H55" s="148"/>
      <c r="I55" s="148"/>
      <c r="J55" s="148"/>
      <c r="K55" s="148"/>
    </row>
    <row r="56" spans="4:11">
      <c r="D56" s="180"/>
      <c r="E56" s="148"/>
      <c r="F56" s="148"/>
      <c r="G56" s="148"/>
      <c r="H56" s="148"/>
      <c r="I56" s="148"/>
      <c r="J56" s="148"/>
      <c r="K56" s="148"/>
    </row>
    <row r="57" spans="4:11">
      <c r="D57" s="180"/>
      <c r="E57" s="148"/>
      <c r="F57" s="148"/>
      <c r="G57" s="148"/>
      <c r="H57" s="148"/>
      <c r="I57" s="148"/>
      <c r="J57" s="148"/>
      <c r="K57" s="148"/>
    </row>
    <row r="58" spans="4:11">
      <c r="D58" s="180"/>
      <c r="E58" s="148"/>
      <c r="F58" s="148"/>
      <c r="G58" s="148"/>
      <c r="H58" s="148"/>
      <c r="I58" s="148"/>
      <c r="J58" s="148"/>
      <c r="K58" s="148"/>
    </row>
    <row r="59" spans="4:11">
      <c r="D59" s="180"/>
      <c r="E59" s="148"/>
      <c r="F59" s="148"/>
      <c r="G59" s="148"/>
      <c r="H59" s="148"/>
      <c r="I59" s="148"/>
      <c r="J59" s="148"/>
      <c r="K59" s="148"/>
    </row>
    <row r="60" spans="4:11">
      <c r="D60" s="180"/>
      <c r="E60" s="148"/>
      <c r="F60" s="148"/>
      <c r="G60" s="148"/>
      <c r="H60" s="148"/>
      <c r="I60" s="148"/>
      <c r="J60" s="148"/>
      <c r="K60" s="148"/>
    </row>
    <row r="61" spans="4:11">
      <c r="D61" s="180"/>
      <c r="E61" s="148"/>
      <c r="F61" s="148"/>
      <c r="G61" s="148"/>
      <c r="H61" s="148"/>
      <c r="I61" s="148"/>
      <c r="J61" s="148"/>
      <c r="K61" s="148"/>
    </row>
    <row r="62" spans="4:11">
      <c r="D62" s="180"/>
      <c r="E62" s="148"/>
      <c r="F62" s="148"/>
      <c r="G62" s="148"/>
      <c r="H62" s="148"/>
      <c r="I62" s="148"/>
      <c r="J62" s="148"/>
      <c r="K62" s="148"/>
    </row>
    <row r="63" spans="4:11">
      <c r="D63" s="180"/>
      <c r="E63" s="148"/>
      <c r="F63" s="148"/>
      <c r="G63" s="148"/>
      <c r="H63" s="148"/>
      <c r="I63" s="148"/>
      <c r="J63" s="148"/>
      <c r="K63" s="148"/>
    </row>
    <row r="64" spans="4:11">
      <c r="D64" s="180"/>
      <c r="E64" s="148"/>
      <c r="F64" s="148"/>
      <c r="G64" s="148"/>
      <c r="H64" s="148"/>
      <c r="I64" s="148"/>
      <c r="J64" s="148"/>
      <c r="K64" s="148"/>
    </row>
    <row r="65" spans="4:11">
      <c r="D65" s="180"/>
      <c r="E65" s="148"/>
      <c r="F65" s="148"/>
      <c r="G65" s="148"/>
      <c r="H65" s="148"/>
      <c r="I65" s="148"/>
      <c r="J65" s="148"/>
      <c r="K65" s="148"/>
    </row>
    <row r="66" spans="4:11">
      <c r="D66" s="180"/>
      <c r="E66" s="148"/>
      <c r="F66" s="148"/>
      <c r="G66" s="148"/>
      <c r="H66" s="148"/>
      <c r="I66" s="148"/>
      <c r="J66" s="148"/>
      <c r="K66" s="148"/>
    </row>
    <row r="67" spans="4:11">
      <c r="D67" s="180"/>
      <c r="E67" s="148"/>
      <c r="F67" s="148"/>
      <c r="G67" s="148"/>
      <c r="H67" s="148"/>
      <c r="I67" s="148"/>
      <c r="J67" s="148"/>
      <c r="K67" s="148"/>
    </row>
    <row r="68" spans="4:11">
      <c r="D68" s="180"/>
      <c r="E68" s="148"/>
      <c r="F68" s="148"/>
      <c r="G68" s="148"/>
      <c r="H68" s="148"/>
      <c r="I68" s="148"/>
      <c r="J68" s="148"/>
      <c r="K68" s="148"/>
    </row>
    <row r="69" spans="4:11">
      <c r="D69" s="180"/>
      <c r="E69" s="148"/>
      <c r="F69" s="148"/>
      <c r="G69" s="148"/>
      <c r="H69" s="148"/>
      <c r="I69" s="148"/>
      <c r="J69" s="148"/>
      <c r="K69" s="148"/>
    </row>
    <row r="70" spans="4:11">
      <c r="D70" s="180"/>
      <c r="E70" s="148"/>
      <c r="F70" s="148"/>
      <c r="G70" s="148"/>
      <c r="H70" s="148"/>
      <c r="I70" s="148"/>
      <c r="J70" s="148"/>
      <c r="K70" s="148"/>
    </row>
    <row r="71" spans="4:11">
      <c r="D71" s="180"/>
      <c r="E71" s="148"/>
      <c r="F71" s="148"/>
      <c r="G71" s="148"/>
      <c r="H71" s="148"/>
      <c r="I71" s="148"/>
      <c r="J71" s="148"/>
      <c r="K71" s="148"/>
    </row>
    <row r="72" spans="4:11">
      <c r="D72" s="43"/>
    </row>
    <row r="73" spans="4:11">
      <c r="D73" s="43"/>
    </row>
    <row r="74" spans="4:11">
      <c r="D74" s="180" t="str">
        <f>general!AG102</f>
        <v>hand</v>
      </c>
      <c r="E74" s="148"/>
      <c r="F74" s="148"/>
      <c r="G74" s="148"/>
      <c r="H74" s="148"/>
      <c r="I74" s="148"/>
      <c r="J74" s="148"/>
      <c r="K74" s="148"/>
    </row>
    <row r="75" spans="4:11">
      <c r="D75" s="180"/>
      <c r="E75" s="148"/>
      <c r="F75" s="148"/>
      <c r="G75" s="148"/>
      <c r="H75" s="148"/>
      <c r="I75" s="148"/>
      <c r="J75" s="148"/>
      <c r="K75" s="148"/>
    </row>
    <row r="76" spans="4:11">
      <c r="D76" s="180"/>
      <c r="E76" s="148"/>
      <c r="F76" s="148"/>
      <c r="G76" s="148"/>
      <c r="H76" s="148"/>
      <c r="I76" s="148"/>
      <c r="J76" s="148"/>
      <c r="K76" s="148"/>
    </row>
    <row r="77" spans="4:11">
      <c r="D77" s="180"/>
      <c r="E77" s="148"/>
      <c r="F77" s="148"/>
      <c r="G77" s="148"/>
      <c r="H77" s="148"/>
      <c r="I77" s="148"/>
      <c r="J77" s="148"/>
      <c r="K77" s="148"/>
    </row>
    <row r="78" spans="4:11">
      <c r="D78" s="180"/>
      <c r="E78" s="148"/>
      <c r="F78" s="148"/>
      <c r="G78" s="148"/>
      <c r="H78" s="148"/>
      <c r="I78" s="148"/>
      <c r="J78" s="148"/>
      <c r="K78" s="148"/>
    </row>
    <row r="79" spans="4:11">
      <c r="D79" s="180"/>
      <c r="E79" s="148"/>
      <c r="F79" s="148"/>
      <c r="G79" s="148"/>
      <c r="H79" s="148"/>
      <c r="I79" s="148"/>
      <c r="J79" s="148"/>
      <c r="K79" s="148"/>
    </row>
    <row r="80" spans="4:11">
      <c r="D80" s="180"/>
      <c r="E80" s="148"/>
      <c r="F80" s="148"/>
      <c r="G80" s="148"/>
      <c r="H80" s="148"/>
      <c r="I80" s="148"/>
      <c r="J80" s="148"/>
      <c r="K80" s="148"/>
    </row>
    <row r="81" spans="4:11">
      <c r="D81" s="180"/>
      <c r="E81" s="148"/>
      <c r="F81" s="148"/>
      <c r="G81" s="148"/>
      <c r="H81" s="148"/>
      <c r="I81" s="148"/>
      <c r="J81" s="148"/>
      <c r="K81" s="148"/>
    </row>
    <row r="82" spans="4:11">
      <c r="D82" s="180"/>
      <c r="E82" s="148"/>
      <c r="F82" s="148"/>
      <c r="G82" s="148"/>
      <c r="H82" s="148"/>
      <c r="I82" s="148"/>
      <c r="J82" s="148"/>
      <c r="K82" s="148"/>
    </row>
    <row r="83" spans="4:11">
      <c r="D83" s="180"/>
      <c r="E83" s="148"/>
      <c r="F83" s="148"/>
      <c r="G83" s="148"/>
      <c r="H83" s="148"/>
      <c r="I83" s="148"/>
      <c r="J83" s="148"/>
      <c r="K83" s="148"/>
    </row>
    <row r="84" spans="4:11">
      <c r="D84" s="180"/>
      <c r="E84" s="148"/>
      <c r="F84" s="148"/>
      <c r="G84" s="148"/>
      <c r="H84" s="148"/>
      <c r="I84" s="148"/>
      <c r="J84" s="148"/>
      <c r="K84" s="148"/>
    </row>
    <row r="85" spans="4:11">
      <c r="D85" s="180"/>
      <c r="E85" s="148"/>
      <c r="F85" s="148"/>
      <c r="G85" s="148"/>
      <c r="H85" s="148"/>
      <c r="I85" s="148"/>
      <c r="J85" s="148"/>
      <c r="K85" s="148"/>
    </row>
    <row r="86" spans="4:11">
      <c r="D86" s="180"/>
      <c r="E86" s="148"/>
      <c r="F86" s="148"/>
      <c r="G86" s="148"/>
      <c r="H86" s="148"/>
      <c r="I86" s="148"/>
      <c r="J86" s="148"/>
      <c r="K86" s="148"/>
    </row>
    <row r="87" spans="4:11">
      <c r="D87" s="180"/>
      <c r="E87" s="148"/>
      <c r="F87" s="148"/>
      <c r="G87" s="148"/>
      <c r="H87" s="148"/>
      <c r="I87" s="148"/>
      <c r="J87" s="148"/>
      <c r="K87" s="148"/>
    </row>
    <row r="88" spans="4:11">
      <c r="D88" s="180"/>
      <c r="E88" s="148"/>
      <c r="F88" s="148"/>
      <c r="G88" s="148"/>
      <c r="H88" s="148"/>
      <c r="I88" s="148"/>
      <c r="J88" s="148"/>
      <c r="K88" s="148"/>
    </row>
    <row r="89" spans="4:11">
      <c r="D89" s="180"/>
      <c r="E89" s="148"/>
      <c r="F89" s="148"/>
      <c r="G89" s="148"/>
      <c r="H89" s="148"/>
      <c r="I89" s="148"/>
      <c r="J89" s="148"/>
      <c r="K89" s="148"/>
    </row>
    <row r="90" spans="4:11">
      <c r="D90" s="180"/>
      <c r="E90" s="148"/>
      <c r="F90" s="148"/>
      <c r="G90" s="148"/>
      <c r="H90" s="148"/>
      <c r="I90" s="148"/>
      <c r="J90" s="148"/>
      <c r="K90" s="148"/>
    </row>
    <row r="91" spans="4:11">
      <c r="D91" s="180"/>
      <c r="E91" s="148"/>
      <c r="F91" s="148"/>
      <c r="G91" s="148"/>
      <c r="H91" s="148"/>
      <c r="I91" s="148"/>
      <c r="J91" s="148"/>
      <c r="K91" s="148"/>
    </row>
    <row r="92" spans="4:11">
      <c r="D92" s="180"/>
      <c r="E92" s="148"/>
      <c r="F92" s="148"/>
      <c r="G92" s="148"/>
      <c r="H92" s="148"/>
      <c r="I92" s="148"/>
      <c r="J92" s="148"/>
      <c r="K92" s="148"/>
    </row>
    <row r="93" spans="4:11">
      <c r="D93" s="180"/>
      <c r="E93" s="148"/>
      <c r="F93" s="148"/>
      <c r="G93" s="148"/>
      <c r="H93" s="148"/>
      <c r="I93" s="148"/>
      <c r="J93" s="148"/>
      <c r="K93" s="148"/>
    </row>
    <row r="94" spans="4:11">
      <c r="D94" s="180"/>
      <c r="E94" s="148"/>
      <c r="F94" s="148"/>
      <c r="G94" s="148"/>
      <c r="H94" s="148"/>
      <c r="I94" s="148"/>
      <c r="J94" s="148"/>
      <c r="K94" s="148"/>
    </row>
    <row r="95" spans="4:11">
      <c r="D95" s="180"/>
      <c r="E95" s="148"/>
      <c r="F95" s="148"/>
      <c r="G95" s="148"/>
      <c r="H95" s="148"/>
      <c r="I95" s="148"/>
      <c r="J95" s="148"/>
      <c r="K95" s="148"/>
    </row>
    <row r="96" spans="4:11">
      <c r="D96" s="180"/>
      <c r="E96" s="148"/>
      <c r="F96" s="148"/>
      <c r="G96" s="148"/>
      <c r="H96" s="148"/>
      <c r="I96" s="148"/>
      <c r="J96" s="148"/>
      <c r="K96" s="148"/>
    </row>
    <row r="97" spans="4:11">
      <c r="D97" s="180"/>
      <c r="E97" s="148"/>
      <c r="F97" s="148"/>
      <c r="G97" s="148"/>
      <c r="H97" s="148"/>
      <c r="I97" s="148"/>
      <c r="J97" s="148"/>
      <c r="K97" s="148"/>
    </row>
    <row r="98" spans="4:11">
      <c r="D98" s="180"/>
      <c r="E98" s="148"/>
      <c r="F98" s="148"/>
      <c r="G98" s="148"/>
      <c r="H98" s="148"/>
      <c r="I98" s="148"/>
      <c r="J98" s="148"/>
      <c r="K98" s="148"/>
    </row>
    <row r="101" spans="4:11">
      <c r="D101" s="180" t="str">
        <f>general!AG104</f>
        <v>Haspelkette - links</v>
      </c>
      <c r="E101" s="148"/>
      <c r="F101" s="148"/>
      <c r="G101" s="148"/>
      <c r="H101" s="148"/>
      <c r="I101" s="148"/>
      <c r="J101" s="148"/>
      <c r="K101" s="148"/>
    </row>
    <row r="102" spans="4:11">
      <c r="D102" s="180"/>
      <c r="E102" s="148"/>
      <c r="F102" s="148"/>
      <c r="G102" s="148"/>
      <c r="H102" s="148"/>
      <c r="I102" s="148"/>
      <c r="J102" s="148"/>
      <c r="K102" s="148"/>
    </row>
    <row r="103" spans="4:11">
      <c r="D103" s="180"/>
      <c r="E103" s="148"/>
      <c r="F103" s="148"/>
      <c r="G103" s="148"/>
      <c r="H103" s="148"/>
      <c r="I103" s="148"/>
      <c r="J103" s="148"/>
      <c r="K103" s="148"/>
    </row>
    <row r="104" spans="4:11">
      <c r="D104" s="180"/>
      <c r="E104" s="148"/>
      <c r="F104" s="148"/>
      <c r="G104" s="148"/>
      <c r="H104" s="148"/>
      <c r="I104" s="148"/>
      <c r="J104" s="148"/>
      <c r="K104" s="148"/>
    </row>
    <row r="105" spans="4:11">
      <c r="D105" s="180"/>
      <c r="E105" s="148"/>
      <c r="F105" s="148"/>
      <c r="G105" s="148"/>
      <c r="H105" s="148"/>
      <c r="I105" s="148"/>
      <c r="J105" s="148"/>
      <c r="K105" s="148"/>
    </row>
    <row r="106" spans="4:11">
      <c r="D106" s="180"/>
      <c r="E106" s="148"/>
      <c r="F106" s="148"/>
      <c r="G106" s="148"/>
      <c r="H106" s="148"/>
      <c r="I106" s="148"/>
      <c r="J106" s="148"/>
      <c r="K106" s="148"/>
    </row>
    <row r="107" spans="4:11">
      <c r="D107" s="180"/>
      <c r="E107" s="148"/>
      <c r="F107" s="148"/>
      <c r="G107" s="148"/>
      <c r="H107" s="148"/>
      <c r="I107" s="148"/>
      <c r="J107" s="148"/>
      <c r="K107" s="148"/>
    </row>
    <row r="108" spans="4:11">
      <c r="D108" s="180"/>
      <c r="E108" s="148"/>
      <c r="F108" s="148"/>
      <c r="G108" s="148"/>
      <c r="H108" s="148"/>
      <c r="I108" s="148"/>
      <c r="J108" s="148"/>
      <c r="K108" s="148"/>
    </row>
    <row r="109" spans="4:11">
      <c r="D109" s="180"/>
      <c r="E109" s="148"/>
      <c r="F109" s="148"/>
      <c r="G109" s="148"/>
      <c r="H109" s="148"/>
      <c r="I109" s="148"/>
      <c r="J109" s="148"/>
      <c r="K109" s="148"/>
    </row>
    <row r="110" spans="4:11">
      <c r="D110" s="180"/>
      <c r="E110" s="148"/>
      <c r="F110" s="148"/>
      <c r="G110" s="148"/>
      <c r="H110" s="148"/>
      <c r="I110" s="148"/>
      <c r="J110" s="148"/>
      <c r="K110" s="148"/>
    </row>
    <row r="111" spans="4:11">
      <c r="D111" s="180"/>
      <c r="E111" s="148"/>
      <c r="F111" s="148"/>
      <c r="G111" s="148"/>
      <c r="H111" s="148"/>
      <c r="I111" s="148"/>
      <c r="J111" s="148"/>
      <c r="K111" s="148"/>
    </row>
    <row r="112" spans="4:11">
      <c r="D112" s="180"/>
      <c r="E112" s="148"/>
      <c r="F112" s="148"/>
      <c r="G112" s="148"/>
      <c r="H112" s="148"/>
      <c r="I112" s="148"/>
      <c r="J112" s="148"/>
      <c r="K112" s="148"/>
    </row>
    <row r="113" spans="4:11">
      <c r="D113" s="180"/>
      <c r="E113" s="148"/>
      <c r="F113" s="148"/>
      <c r="G113" s="148"/>
      <c r="H113" s="148"/>
      <c r="I113" s="148"/>
      <c r="J113" s="148"/>
      <c r="K113" s="148"/>
    </row>
    <row r="114" spans="4:11">
      <c r="D114" s="180"/>
      <c r="E114" s="148"/>
      <c r="F114" s="148"/>
      <c r="G114" s="148"/>
      <c r="H114" s="148"/>
      <c r="I114" s="148"/>
      <c r="J114" s="148"/>
      <c r="K114" s="148"/>
    </row>
    <row r="115" spans="4:11">
      <c r="D115" s="180"/>
      <c r="E115" s="148"/>
      <c r="F115" s="148"/>
      <c r="G115" s="148"/>
      <c r="H115" s="148"/>
      <c r="I115" s="148"/>
      <c r="J115" s="148"/>
      <c r="K115" s="148"/>
    </row>
    <row r="116" spans="4:11">
      <c r="D116" s="180"/>
      <c r="E116" s="148"/>
      <c r="F116" s="148"/>
      <c r="G116" s="148"/>
      <c r="H116" s="148"/>
      <c r="I116" s="148"/>
      <c r="J116" s="148"/>
      <c r="K116" s="148"/>
    </row>
    <row r="117" spans="4:11">
      <c r="D117" s="180"/>
      <c r="E117" s="148"/>
      <c r="F117" s="148"/>
      <c r="G117" s="148"/>
      <c r="H117" s="148"/>
      <c r="I117" s="148"/>
      <c r="J117" s="148"/>
      <c r="K117" s="148"/>
    </row>
    <row r="118" spans="4:11">
      <c r="D118" s="180"/>
      <c r="E118" s="148"/>
      <c r="F118" s="148"/>
      <c r="G118" s="148"/>
      <c r="H118" s="148"/>
      <c r="I118" s="148"/>
      <c r="J118" s="148"/>
      <c r="K118" s="148"/>
    </row>
    <row r="119" spans="4:11">
      <c r="D119" s="180"/>
      <c r="E119" s="148"/>
      <c r="F119" s="148"/>
      <c r="G119" s="148"/>
      <c r="H119" s="148"/>
      <c r="I119" s="148"/>
      <c r="J119" s="148"/>
      <c r="K119" s="148"/>
    </row>
    <row r="120" spans="4:11">
      <c r="D120" s="180"/>
      <c r="E120" s="148"/>
      <c r="F120" s="148"/>
      <c r="G120" s="148"/>
      <c r="H120" s="148"/>
      <c r="I120" s="148"/>
      <c r="J120" s="148"/>
      <c r="K120" s="148"/>
    </row>
    <row r="121" spans="4:11">
      <c r="D121" s="180"/>
      <c r="E121" s="148"/>
      <c r="F121" s="148"/>
      <c r="G121" s="148"/>
      <c r="H121" s="148"/>
      <c r="I121" s="148"/>
      <c r="J121" s="148"/>
      <c r="K121" s="148"/>
    </row>
    <row r="122" spans="4:11">
      <c r="D122" s="180"/>
      <c r="E122" s="148"/>
      <c r="F122" s="148"/>
      <c r="G122" s="148"/>
      <c r="H122" s="148"/>
      <c r="I122" s="148"/>
      <c r="J122" s="148"/>
      <c r="K122" s="148"/>
    </row>
    <row r="123" spans="4:11">
      <c r="D123" s="180"/>
      <c r="E123" s="148"/>
      <c r="F123" s="148"/>
      <c r="G123" s="148"/>
      <c r="H123" s="148"/>
      <c r="I123" s="148"/>
      <c r="J123" s="148"/>
      <c r="K123" s="148"/>
    </row>
    <row r="124" spans="4:11">
      <c r="D124" s="180"/>
      <c r="E124" s="148"/>
      <c r="F124" s="148"/>
      <c r="G124" s="148"/>
      <c r="H124" s="148"/>
      <c r="I124" s="148"/>
      <c r="J124" s="148"/>
      <c r="K124" s="148"/>
    </row>
    <row r="125" spans="4:11">
      <c r="D125" s="180"/>
      <c r="E125" s="148"/>
      <c r="F125" s="148"/>
      <c r="G125" s="148"/>
      <c r="H125" s="148"/>
      <c r="I125" s="148"/>
      <c r="J125" s="148"/>
      <c r="K125" s="148"/>
    </row>
    <row r="128" spans="4:11">
      <c r="D128" s="180" t="str">
        <f>general!AG105</f>
        <v>Haspelkette - rechts</v>
      </c>
      <c r="E128" s="148"/>
      <c r="F128" s="148"/>
      <c r="G128" s="148"/>
      <c r="H128" s="148"/>
      <c r="I128" s="148"/>
      <c r="J128" s="148"/>
      <c r="K128" s="148"/>
    </row>
    <row r="129" spans="4:11">
      <c r="D129" s="180"/>
      <c r="E129" s="148"/>
      <c r="F129" s="148"/>
      <c r="G129" s="148"/>
      <c r="H129" s="148"/>
      <c r="I129" s="148"/>
      <c r="J129" s="148"/>
      <c r="K129" s="148"/>
    </row>
    <row r="130" spans="4:11">
      <c r="D130" s="180"/>
      <c r="E130" s="148"/>
      <c r="F130" s="148"/>
      <c r="G130" s="148"/>
      <c r="H130" s="148"/>
      <c r="I130" s="148"/>
      <c r="J130" s="148"/>
      <c r="K130" s="148"/>
    </row>
    <row r="131" spans="4:11">
      <c r="D131" s="180"/>
      <c r="E131" s="148"/>
      <c r="F131" s="148"/>
      <c r="G131" s="148"/>
      <c r="H131" s="148"/>
      <c r="I131" s="148"/>
      <c r="J131" s="148"/>
      <c r="K131" s="148"/>
    </row>
    <row r="132" spans="4:11">
      <c r="D132" s="180"/>
      <c r="E132" s="148"/>
      <c r="F132" s="148"/>
      <c r="G132" s="148"/>
      <c r="H132" s="148"/>
      <c r="I132" s="148"/>
      <c r="J132" s="148"/>
      <c r="K132" s="148"/>
    </row>
    <row r="133" spans="4:11">
      <c r="D133" s="180"/>
      <c r="E133" s="148"/>
      <c r="F133" s="148"/>
      <c r="G133" s="148"/>
      <c r="H133" s="148"/>
      <c r="I133" s="148"/>
      <c r="J133" s="148"/>
      <c r="K133" s="148"/>
    </row>
    <row r="134" spans="4:11">
      <c r="D134" s="180"/>
      <c r="E134" s="148"/>
      <c r="F134" s="148"/>
      <c r="G134" s="148"/>
      <c r="H134" s="148"/>
      <c r="I134" s="148"/>
      <c r="J134" s="148"/>
      <c r="K134" s="148"/>
    </row>
    <row r="135" spans="4:11">
      <c r="D135" s="180"/>
      <c r="E135" s="148"/>
      <c r="F135" s="148"/>
      <c r="G135" s="148"/>
      <c r="H135" s="148"/>
      <c r="I135" s="148"/>
      <c r="J135" s="148"/>
      <c r="K135" s="148"/>
    </row>
    <row r="136" spans="4:11">
      <c r="D136" s="180"/>
      <c r="E136" s="148"/>
      <c r="F136" s="148"/>
      <c r="G136" s="148"/>
      <c r="H136" s="148"/>
      <c r="I136" s="148"/>
      <c r="J136" s="148"/>
      <c r="K136" s="148"/>
    </row>
    <row r="137" spans="4:11">
      <c r="D137" s="180"/>
      <c r="E137" s="148"/>
      <c r="F137" s="148"/>
      <c r="G137" s="148"/>
      <c r="H137" s="148"/>
      <c r="I137" s="148"/>
      <c r="J137" s="148"/>
      <c r="K137" s="148"/>
    </row>
    <row r="138" spans="4:11">
      <c r="D138" s="180"/>
      <c r="E138" s="148"/>
      <c r="F138" s="148"/>
      <c r="G138" s="148"/>
      <c r="H138" s="148"/>
      <c r="I138" s="148"/>
      <c r="J138" s="148"/>
      <c r="K138" s="148"/>
    </row>
    <row r="139" spans="4:11">
      <c r="D139" s="180"/>
      <c r="E139" s="148"/>
      <c r="F139" s="148"/>
      <c r="G139" s="148"/>
      <c r="H139" s="148"/>
      <c r="I139" s="148"/>
      <c r="J139" s="148"/>
      <c r="K139" s="148"/>
    </row>
    <row r="140" spans="4:11">
      <c r="D140" s="180"/>
      <c r="E140" s="148"/>
      <c r="F140" s="148"/>
      <c r="G140" s="148"/>
      <c r="H140" s="148"/>
      <c r="I140" s="148"/>
      <c r="J140" s="148"/>
      <c r="K140" s="148"/>
    </row>
    <row r="141" spans="4:11">
      <c r="D141" s="180"/>
      <c r="E141" s="148"/>
      <c r="F141" s="148"/>
      <c r="G141" s="148"/>
      <c r="H141" s="148"/>
      <c r="I141" s="148"/>
      <c r="J141" s="148"/>
      <c r="K141" s="148"/>
    </row>
    <row r="142" spans="4:11">
      <c r="D142" s="180"/>
      <c r="E142" s="148"/>
      <c r="F142" s="148"/>
      <c r="G142" s="148"/>
      <c r="H142" s="148"/>
      <c r="I142" s="148"/>
      <c r="J142" s="148"/>
      <c r="K142" s="148"/>
    </row>
    <row r="143" spans="4:11">
      <c r="D143" s="180"/>
      <c r="E143" s="148"/>
      <c r="F143" s="148"/>
      <c r="G143" s="148"/>
      <c r="H143" s="148"/>
      <c r="I143" s="148"/>
      <c r="J143" s="148"/>
      <c r="K143" s="148"/>
    </row>
    <row r="144" spans="4:11">
      <c r="D144" s="180"/>
      <c r="E144" s="148"/>
      <c r="F144" s="148"/>
      <c r="G144" s="148"/>
      <c r="H144" s="148"/>
      <c r="I144" s="148"/>
      <c r="J144" s="148"/>
      <c r="K144" s="148"/>
    </row>
    <row r="145" spans="4:11">
      <c r="D145" s="180"/>
      <c r="E145" s="148"/>
      <c r="F145" s="148"/>
      <c r="G145" s="148"/>
      <c r="H145" s="148"/>
      <c r="I145" s="148"/>
      <c r="J145" s="148"/>
      <c r="K145" s="148"/>
    </row>
    <row r="146" spans="4:11">
      <c r="D146" s="180"/>
      <c r="E146" s="148"/>
      <c r="F146" s="148"/>
      <c r="G146" s="148"/>
      <c r="H146" s="148"/>
      <c r="I146" s="148"/>
      <c r="J146" s="148"/>
      <c r="K146" s="148"/>
    </row>
    <row r="147" spans="4:11">
      <c r="D147" s="180"/>
      <c r="E147" s="148"/>
      <c r="F147" s="148"/>
      <c r="G147" s="148"/>
      <c r="H147" s="148"/>
      <c r="I147" s="148"/>
      <c r="J147" s="148"/>
      <c r="K147" s="148"/>
    </row>
    <row r="148" spans="4:11">
      <c r="D148" s="180"/>
      <c r="E148" s="148"/>
      <c r="F148" s="148"/>
      <c r="G148" s="148"/>
      <c r="H148" s="148"/>
      <c r="I148" s="148"/>
      <c r="J148" s="148"/>
      <c r="K148" s="148"/>
    </row>
    <row r="149" spans="4:11">
      <c r="D149" s="180"/>
      <c r="E149" s="148"/>
      <c r="F149" s="148"/>
      <c r="G149" s="148"/>
      <c r="H149" s="148"/>
      <c r="I149" s="148"/>
      <c r="J149" s="148"/>
      <c r="K149" s="148"/>
    </row>
    <row r="150" spans="4:11">
      <c r="D150" s="180"/>
      <c r="E150" s="148"/>
      <c r="F150" s="148"/>
      <c r="G150" s="148"/>
      <c r="H150" s="148"/>
      <c r="I150" s="148"/>
      <c r="J150" s="148"/>
      <c r="K150" s="148"/>
    </row>
    <row r="151" spans="4:11">
      <c r="D151" s="180"/>
      <c r="E151" s="148"/>
      <c r="F151" s="148"/>
      <c r="G151" s="148"/>
      <c r="H151" s="148"/>
      <c r="I151" s="148"/>
      <c r="J151" s="148"/>
      <c r="K151" s="148"/>
    </row>
    <row r="152" spans="4:11">
      <c r="D152" s="180"/>
      <c r="E152" s="148"/>
      <c r="F152" s="148"/>
      <c r="G152" s="148"/>
      <c r="H152" s="148"/>
      <c r="I152" s="148"/>
      <c r="J152" s="148"/>
      <c r="K152" s="148"/>
    </row>
  </sheetData>
  <mergeCells count="11">
    <mergeCell ref="D101:D125"/>
    <mergeCell ref="E101:K125"/>
    <mergeCell ref="D128:D152"/>
    <mergeCell ref="E128:K152"/>
    <mergeCell ref="Y6:AE8"/>
    <mergeCell ref="D20:D44"/>
    <mergeCell ref="E20:K44"/>
    <mergeCell ref="D47:D71"/>
    <mergeCell ref="E47:K71"/>
    <mergeCell ref="D74:D98"/>
    <mergeCell ref="E74:K98"/>
  </mergeCells>
  <dataValidations count="1">
    <dataValidation type="list" allowBlank="1" showInputMessage="1" showErrorMessage="1" sqref="N16:U18" xr:uid="{621DF16A-467A-4B7B-8B67-A1874413ED4C}">
      <formula1>$Z$8:$Z$9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general</vt:lpstr>
      <vt:lpstr>SW-R</vt:lpstr>
      <vt:lpstr>SW-L</vt:lpstr>
      <vt:lpstr>Manually_operated</vt:lpstr>
      <vt:lpstr>Obrázky</vt:lpstr>
      <vt:lpstr>general!Druckbereich</vt:lpstr>
      <vt:lpstr>'SW-L'!Druckbereich</vt:lpstr>
      <vt:lpstr>'SW-R'!Druckbereich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Krause</dc:creator>
  <cp:lastModifiedBy>Tatjana Krause</cp:lastModifiedBy>
  <dcterms:created xsi:type="dcterms:W3CDTF">2024-05-15T06:50:33Z</dcterms:created>
  <dcterms:modified xsi:type="dcterms:W3CDTF">2024-07-10T07:30:17Z</dcterms:modified>
</cp:coreProperties>
</file>