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oorsystems-my.sharepoint.com/personal/t_krause_door-systems_de/Documents/Marketing2/Dokumentation/12_Montageanleitungen/TOORS/original/Industrietore/Einbauzeichnungen/"/>
    </mc:Choice>
  </mc:AlternateContent>
  <xr:revisionPtr revIDLastSave="0" documentId="8_{8EA605A5-1C79-4EA2-B8CB-D2DB301CA523}" xr6:coauthVersionLast="47" xr6:coauthVersionMax="47" xr10:uidLastSave="{00000000-0000-0000-0000-000000000000}"/>
  <bookViews>
    <workbookView xWindow="28680" yWindow="-120" windowWidth="29040" windowHeight="15840" xr2:uid="{81E19735-0807-4B67-8DF3-C6356698081F}"/>
  </bookViews>
  <sheets>
    <sheet name="general" sheetId="1" r:id="rId1"/>
    <sheet name="SW-R" sheetId="2" r:id="rId2"/>
    <sheet name="SW-L" sheetId="3" r:id="rId3"/>
    <sheet name="Manually_operated" sheetId="4" r:id="rId4"/>
    <sheet name="Obrázky" sheetId="5" state="hidden" r:id="rId5"/>
  </sheets>
  <definedNames>
    <definedName name="_xlnm.Print_Area" localSheetId="0">general!$A$1:$AC$69</definedName>
    <definedName name="motor">INDEX(Obrázky!$E$20:$E$197, MATCH(general!$K$9,Obrázky!$D$20:$D$137,0))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22" i="5" l="1"/>
  <c r="Z21" i="5"/>
  <c r="AA16" i="5"/>
  <c r="Z13" i="5"/>
  <c r="F66" i="1"/>
  <c r="F65" i="1"/>
  <c r="F64" i="1"/>
  <c r="F63" i="1"/>
  <c r="F62" i="1"/>
  <c r="F61" i="1"/>
  <c r="F60" i="1"/>
  <c r="L59" i="1"/>
  <c r="Z18" i="5" s="1"/>
  <c r="F59" i="1"/>
  <c r="L58" i="1"/>
  <c r="G58" i="1"/>
  <c r="F58" i="1"/>
  <c r="P57" i="1"/>
  <c r="P64" i="1" s="1"/>
  <c r="L57" i="1"/>
  <c r="G57" i="1"/>
  <c r="K59" i="1" s="1"/>
  <c r="F57" i="1"/>
  <c r="F56" i="1"/>
  <c r="AG55" i="1"/>
  <c r="AG30" i="1"/>
  <c r="AE1" i="1"/>
  <c r="AG115" i="1" s="1"/>
  <c r="H58" i="1" s="1"/>
  <c r="AG3" i="1" l="1"/>
  <c r="AG31" i="1"/>
  <c r="AG62" i="1"/>
  <c r="AG73" i="1"/>
  <c r="AG94" i="1"/>
  <c r="O5" i="1"/>
  <c r="AG101" i="1"/>
  <c r="AQ102" i="1"/>
  <c r="AG7" i="1"/>
  <c r="AG42" i="1"/>
  <c r="AG83" i="1"/>
  <c r="AG103" i="1"/>
  <c r="AG93" i="1"/>
  <c r="AG75" i="1"/>
  <c r="AG76" i="1"/>
  <c r="AG15" i="1"/>
  <c r="AG50" i="1"/>
  <c r="AG60" i="1"/>
  <c r="AG65" i="1"/>
  <c r="AG85" i="1"/>
  <c r="AG110" i="1"/>
  <c r="AG56" i="1"/>
  <c r="AG41" i="1"/>
  <c r="AG21" i="1"/>
  <c r="AG51" i="1"/>
  <c r="R58" i="1" s="1"/>
  <c r="AG86" i="1"/>
  <c r="AG68" i="1"/>
  <c r="AG38" i="1"/>
  <c r="AG5" i="1"/>
  <c r="AG25" i="1"/>
  <c r="AG54" i="1"/>
  <c r="AG61" i="1"/>
  <c r="AG67" i="1"/>
  <c r="AG91" i="1"/>
  <c r="AG108" i="1"/>
  <c r="AG8" i="1"/>
  <c r="AG16" i="1"/>
  <c r="AG22" i="1"/>
  <c r="AG29" i="1"/>
  <c r="AG37" i="1"/>
  <c r="AG45" i="1"/>
  <c r="G59" i="1"/>
  <c r="AG74" i="1"/>
  <c r="G56" i="1" s="1"/>
  <c r="AG84" i="1"/>
  <c r="AG92" i="1"/>
  <c r="AG102" i="1"/>
  <c r="AG109" i="1"/>
  <c r="AG69" i="1"/>
  <c r="AG77" i="1"/>
  <c r="AG87" i="1"/>
  <c r="AG95" i="1"/>
  <c r="AQ103" i="1"/>
  <c r="AG112" i="1"/>
  <c r="Z20" i="5" s="1"/>
  <c r="AG32" i="1"/>
  <c r="AG6" i="1"/>
  <c r="AG12" i="1"/>
  <c r="AG20" i="1"/>
  <c r="AG26" i="1"/>
  <c r="AG35" i="1"/>
  <c r="AG43" i="1"/>
  <c r="P58" i="1"/>
  <c r="P59" i="1"/>
  <c r="AG70" i="1"/>
  <c r="AG78" i="1"/>
  <c r="AG88" i="1"/>
  <c r="AG97" i="1"/>
  <c r="AG104" i="1"/>
  <c r="AG113" i="1"/>
  <c r="N65" i="1" s="1"/>
  <c r="I18" i="1" s="1"/>
  <c r="AG111" i="1"/>
  <c r="H11" i="1" s="1"/>
  <c r="AG48" i="1"/>
  <c r="AG4" i="1"/>
  <c r="AG13" i="1"/>
  <c r="G60" i="1" s="1"/>
  <c r="AG27" i="1"/>
  <c r="AG44" i="1"/>
  <c r="AG59" i="1"/>
  <c r="AG66" i="1"/>
  <c r="AG71" i="1"/>
  <c r="AG79" i="1"/>
  <c r="AG89" i="1"/>
  <c r="AG99" i="1"/>
  <c r="C42" i="4" s="1"/>
  <c r="AG105" i="1"/>
  <c r="AG114" i="1"/>
  <c r="H57" i="1" s="1"/>
  <c r="AG2" i="1"/>
  <c r="AG14" i="1"/>
  <c r="AG28" i="1"/>
  <c r="AG36" i="1"/>
  <c r="AG49" i="1"/>
  <c r="AG63" i="1"/>
  <c r="AG64" i="1"/>
  <c r="AG72" i="1"/>
  <c r="AG80" i="1"/>
  <c r="AG90" i="1"/>
  <c r="AG100" i="1"/>
  <c r="AG106" i="1"/>
  <c r="C57" i="1" l="1"/>
  <c r="C61" i="1"/>
  <c r="R47" i="1"/>
  <c r="AU5" i="1"/>
  <c r="AA17" i="5"/>
  <c r="D74" i="5"/>
  <c r="Z17" i="5"/>
  <c r="AU1" i="1"/>
  <c r="I23" i="1" s="1"/>
  <c r="D128" i="5"/>
  <c r="E42" i="4"/>
  <c r="AB11" i="5"/>
  <c r="V62" i="1"/>
  <c r="X6" i="1"/>
  <c r="C62" i="1"/>
  <c r="C46" i="2"/>
  <c r="C46" i="4"/>
  <c r="C46" i="3"/>
  <c r="C63" i="1"/>
  <c r="AU4" i="1"/>
  <c r="D101" i="5"/>
  <c r="AA67" i="1"/>
  <c r="C42" i="2"/>
  <c r="C42" i="3"/>
  <c r="C44" i="3"/>
  <c r="C44" i="4"/>
  <c r="C44" i="2"/>
  <c r="C48" i="4"/>
  <c r="C48" i="2"/>
  <c r="C48" i="3"/>
  <c r="AU2" i="1"/>
  <c r="Z16" i="5"/>
  <c r="R10" i="5"/>
  <c r="D20" i="5"/>
  <c r="E42" i="2"/>
  <c r="AU3" i="1"/>
  <c r="E42" i="3"/>
  <c r="D47" i="5"/>
  <c r="G62" i="1"/>
  <c r="I62" i="1" s="1"/>
  <c r="H61" i="1"/>
  <c r="G61" i="1"/>
  <c r="I60" i="1"/>
  <c r="L61" i="1"/>
  <c r="K61" i="1"/>
  <c r="M56" i="1"/>
  <c r="H7" i="1"/>
  <c r="R56" i="1"/>
  <c r="R60" i="1"/>
  <c r="R54" i="1"/>
  <c r="Y29" i="1"/>
  <c r="E36" i="1"/>
  <c r="R49" i="1"/>
  <c r="X4" i="1"/>
  <c r="B55" i="1"/>
  <c r="R45" i="1"/>
  <c r="B49" i="1"/>
  <c r="Y26" i="1"/>
  <c r="T60" i="1"/>
  <c r="L37" i="1"/>
  <c r="C56" i="1"/>
  <c r="R51" i="1"/>
  <c r="Z60" i="1"/>
  <c r="H3" i="1"/>
  <c r="X60" i="1"/>
  <c r="C60" i="1"/>
  <c r="R52" i="1"/>
  <c r="AA60" i="1"/>
  <c r="Y21" i="1"/>
  <c r="V60" i="1"/>
  <c r="X47" i="1"/>
  <c r="B52" i="1"/>
  <c r="M60" i="1"/>
  <c r="C59" i="1"/>
  <c r="H9" i="1"/>
  <c r="X5" i="1"/>
  <c r="V67" i="1"/>
  <c r="Q2" i="1"/>
  <c r="H59" i="1"/>
  <c r="C64" i="1"/>
  <c r="C65" i="1"/>
  <c r="Z67" i="1"/>
  <c r="B53" i="1"/>
  <c r="AB60" i="1"/>
  <c r="H5" i="1"/>
  <c r="C58" i="1"/>
  <c r="C66" i="1"/>
  <c r="T12" i="1"/>
  <c r="I19" i="1"/>
  <c r="X45" i="1"/>
  <c r="X7" i="1"/>
  <c r="R57" i="1"/>
  <c r="B51" i="1"/>
  <c r="C40" i="2" l="1"/>
  <c r="C40" i="4"/>
  <c r="C40" i="3"/>
  <c r="L63" i="1"/>
  <c r="H63" i="1"/>
  <c r="G64" i="1"/>
  <c r="G63" i="1"/>
  <c r="K64" i="1"/>
  <c r="H64" i="1"/>
  <c r="I20" i="1"/>
  <c r="K63" i="1"/>
  <c r="I21" i="1"/>
  <c r="L6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Tomas Horacek</author>
  </authors>
  <commentList>
    <comment ref="AB11" authorId="0" shapeId="0" xr:uid="{DB7349D8-4C54-4FC8-94AC-4BF0CE84ADF8}">
      <text>
        <r>
          <rPr>
            <b/>
            <sz val="9"/>
            <color indexed="81"/>
            <rFont val="Tahoma"/>
            <family val="2"/>
            <charset val="238"/>
          </rPr>
          <t>Tomas Horacek:</t>
        </r>
        <r>
          <rPr>
            <sz val="9"/>
            <color indexed="81"/>
            <rFont val="Tahoma"/>
            <family val="2"/>
            <charset val="238"/>
          </rPr>
          <t xml:space="preserve">
Výpočet pro boční prostory</t>
        </r>
      </text>
    </comment>
  </commentList>
</comments>
</file>

<file path=xl/sharedStrings.xml><?xml version="1.0" encoding="utf-8"?>
<sst xmlns="http://schemas.openxmlformats.org/spreadsheetml/2006/main" count="906" uniqueCount="805">
  <si>
    <t>č.jaz.</t>
  </si>
  <si>
    <t>SVYHLEDAT</t>
  </si>
  <si>
    <t>CZ</t>
  </si>
  <si>
    <t>EN</t>
  </si>
  <si>
    <t>DE</t>
  </si>
  <si>
    <t>PL</t>
  </si>
  <si>
    <t>FR</t>
  </si>
  <si>
    <t>NL</t>
  </si>
  <si>
    <t>EST</t>
  </si>
  <si>
    <t>FIN</t>
  </si>
  <si>
    <t>RU</t>
  </si>
  <si>
    <t>Jazyk</t>
  </si>
  <si>
    <t>číslo</t>
  </si>
  <si>
    <t xml:space="preserve">Zvolit jazyk: </t>
  </si>
  <si>
    <t>Select a language:</t>
  </si>
  <si>
    <t>Wählen Sie eine Sprache</t>
  </si>
  <si>
    <t>Wybierz język</t>
  </si>
  <si>
    <t>Sélectionner une langue</t>
  </si>
  <si>
    <t>Kies een taal:</t>
  </si>
  <si>
    <t>Valige keel</t>
  </si>
  <si>
    <t>Valitse kieli:</t>
  </si>
  <si>
    <t>Выберите язык:</t>
  </si>
  <si>
    <t>Zvol jazyk:</t>
  </si>
  <si>
    <t>mm</t>
  </si>
  <si>
    <t>Šířka otvoru</t>
  </si>
  <si>
    <t>Opening width</t>
  </si>
  <si>
    <t>Lichte Breite</t>
  </si>
  <si>
    <t>Szerokość otworu</t>
  </si>
  <si>
    <t>LARGEUR DE BAIE</t>
  </si>
  <si>
    <t>Dagmaat breedte</t>
  </si>
  <si>
    <t>Ava laius</t>
  </si>
  <si>
    <t>Oviaukon leveys</t>
  </si>
  <si>
    <t>Ширина проема</t>
  </si>
  <si>
    <t>Výška otvoru</t>
  </si>
  <si>
    <t>Opening height</t>
  </si>
  <si>
    <t>Lichte Höhe</t>
  </si>
  <si>
    <t>Wysokość otworu</t>
  </si>
  <si>
    <t>HAUTEUR DE BAIE</t>
  </si>
  <si>
    <t>Dagmaat hoogte</t>
  </si>
  <si>
    <t>Ava kõrgus</t>
  </si>
  <si>
    <t>Oviaukon korkeus</t>
  </si>
  <si>
    <t>Высота проема</t>
  </si>
  <si>
    <t>Wählen Sie eine Sprache:</t>
  </si>
  <si>
    <t>POHLED ZEVNITŘ</t>
  </si>
  <si>
    <t>INTERIOR VIEW</t>
  </si>
  <si>
    <t>INNENANSICHT</t>
  </si>
  <si>
    <t>Widok od środka</t>
  </si>
  <si>
    <t>VUE INTERIEURE</t>
  </si>
  <si>
    <t>BINNENAANZICHT</t>
  </si>
  <si>
    <t>seestvaade</t>
  </si>
  <si>
    <t>SISÄLTÄPÄIN KUVATTUNA</t>
  </si>
  <si>
    <t>Вид изнутри</t>
  </si>
  <si>
    <t>Wybierz język:</t>
  </si>
  <si>
    <t>ŘEZ A-A</t>
  </si>
  <si>
    <t>SECTION A-A</t>
  </si>
  <si>
    <t>DURCHSCHNITT A-A</t>
  </si>
  <si>
    <t>Przekrój A-A</t>
  </si>
  <si>
    <t>COUPE A-A</t>
  </si>
  <si>
    <t>DOORSNEDE A-A</t>
  </si>
  <si>
    <t>vaade A-A</t>
  </si>
  <si>
    <t>LEIKKAUS A-A</t>
  </si>
  <si>
    <t>Разрез А-А</t>
  </si>
  <si>
    <t>Sélectionner une langue:</t>
  </si>
  <si>
    <t>ŘEZ B-B</t>
  </si>
  <si>
    <t>SECTION B-B</t>
  </si>
  <si>
    <t>DURCHSCHNITT B-B</t>
  </si>
  <si>
    <t>Przekrój B-B</t>
  </si>
  <si>
    <t>COUPE B-B</t>
  </si>
  <si>
    <t>DOORSNEDE B-B</t>
  </si>
  <si>
    <t>VAADE B-B</t>
  </si>
  <si>
    <t>LEIKKAUS B-B</t>
  </si>
  <si>
    <t>Разрез B-B</t>
  </si>
  <si>
    <t>POZNÁMKA:</t>
  </si>
  <si>
    <t>NOTE:</t>
  </si>
  <si>
    <t>ACHTUNG:</t>
  </si>
  <si>
    <t>Uwaga:</t>
  </si>
  <si>
    <t>Remarque:</t>
  </si>
  <si>
    <t>OPMERKING:</t>
  </si>
  <si>
    <t>MÄRKUS</t>
  </si>
  <si>
    <t>HUOMAUTUS:</t>
  </si>
  <si>
    <t>ПРИМЕЧАНИЯ:</t>
  </si>
  <si>
    <t>VEDENÍ PRO VYSOKÝ PŘEKLAD (HL-1T)</t>
  </si>
  <si>
    <t>HIGH LIFT SYSTEM (HL-1T)</t>
  </si>
  <si>
    <t>HÖHERGEFÜHRTER BESCHLAG (HL-1T)</t>
  </si>
  <si>
    <t>PROWADZENIE DLA WYSOKIEGO NADPROŻA (HL-1T)</t>
  </si>
  <si>
    <t>LEVEE HAUTE (HL-1T)</t>
  </si>
  <si>
    <t>HOOG PLAFONDSYSTEEM (HL-1T)</t>
  </si>
  <si>
    <t>Kõrge tõste (HL-1T)</t>
  </si>
  <si>
    <t>KORKEANOSTO (HL-1T)</t>
  </si>
  <si>
    <t>ВЫСОКИЙ ПОДЪЕМ, С ПРЕДСОБРАННЫМ ВАЛОМ (HL&lt;1200)</t>
  </si>
  <si>
    <t>PRUŽINY NAD PŘEKLADEM</t>
  </si>
  <si>
    <t>springs above lintel</t>
  </si>
  <si>
    <t>Federn oberhalb des Sturzes</t>
  </si>
  <si>
    <t>SPRĘŻYNY NAD NADPROŻEM</t>
  </si>
  <si>
    <t>RESSORTS AVANTS DEPORTES DU LINTEAU</t>
  </si>
  <si>
    <t>verenpakket boven latei</t>
  </si>
  <si>
    <t>Vedrud ava kohal</t>
  </si>
  <si>
    <t>jouset ovipalkkin päällä</t>
  </si>
  <si>
    <t>нижнее расположение вала</t>
  </si>
  <si>
    <t>pro HL&gt;600 a HL&lt;=1200</t>
  </si>
  <si>
    <t>for HL&gt;600 and HL&lt;=1200</t>
  </si>
  <si>
    <t>fur HL&gt;600 und HL&lt;=1200</t>
  </si>
  <si>
    <t>dla HL&gt;600 i HL&lt;=1200</t>
  </si>
  <si>
    <t>pour HL&gt;600 et HL&lt;=1200</t>
  </si>
  <si>
    <t>van HL&gt;600 tot HL&lt;=1200</t>
  </si>
  <si>
    <t>HL&gt;600 ja HL&lt;=1200</t>
  </si>
  <si>
    <t>pro HL&gt;600 ja HL&lt;=1200</t>
  </si>
  <si>
    <t>при высоте подъема &gt; 600 и &lt;= 1200</t>
  </si>
  <si>
    <t>PANEL 40mm</t>
  </si>
  <si>
    <t>SECTION THICKNESS 40 mm</t>
  </si>
  <si>
    <t>Paneel 40 mm</t>
  </si>
  <si>
    <t>Panel 40 mm</t>
  </si>
  <si>
    <t>40 mm PANNEAU</t>
  </si>
  <si>
    <t>PANEEL 40 mm</t>
  </si>
  <si>
    <t>Lamelli 40mm</t>
  </si>
  <si>
    <t xml:space="preserve">ТОЛЩИНА СЕКЦИИ 40мм </t>
  </si>
  <si>
    <t>Max. W x H 4000x4000</t>
  </si>
  <si>
    <t>макс. ШхВ (WxH) 4000x4000</t>
  </si>
  <si>
    <t>*</t>
  </si>
  <si>
    <t>Montáž na cihlové zdivo</t>
  </si>
  <si>
    <t>mounting on brickwork</t>
  </si>
  <si>
    <t>Montage auf Mauerwerk und Ziegel</t>
  </si>
  <si>
    <t>montaż do muru i cegły</t>
  </si>
  <si>
    <t>montage sur béton</t>
  </si>
  <si>
    <t>montage op beton</t>
  </si>
  <si>
    <t>Paigaldus kiviseinale</t>
  </si>
  <si>
    <t>asennus tiiliseinän</t>
  </si>
  <si>
    <t>монтаж на бетон</t>
  </si>
  <si>
    <t>Montáž na porobeton</t>
  </si>
  <si>
    <t>mounting on cellular concrete</t>
  </si>
  <si>
    <t>Montage auf Porenbeton oder Gasbeton</t>
  </si>
  <si>
    <t>montaż do betonu porowatego</t>
  </si>
  <si>
    <t>montage sur parpaing creux</t>
  </si>
  <si>
    <t>montage op gasbeton</t>
  </si>
  <si>
    <t>Paigaldus poorbetoonile</t>
  </si>
  <si>
    <t>asennus betoniin</t>
  </si>
  <si>
    <t>монтаж на газобетон</t>
  </si>
  <si>
    <t>Montáž na opláštění</t>
  </si>
  <si>
    <t>mounting on insulated cladding</t>
  </si>
  <si>
    <t>Montage auf ISO-Trapezblechfassade</t>
  </si>
  <si>
    <t>montaż do płaszcza</t>
  </si>
  <si>
    <t>montage sur structure métallique  (a fournir par le charpentier)</t>
  </si>
  <si>
    <t>montage op binnendooscontructie met damwandbeplating</t>
  </si>
  <si>
    <t>Paigaldus soojustatud seinapaneelile</t>
  </si>
  <si>
    <t>asennus eristettyyn seinäelementtiin</t>
  </si>
  <si>
    <t>монтаж на металлокаркас</t>
  </si>
  <si>
    <t>PRÁCE, KTERÉ MUSÍ BÝT PROVEDENY ZÁKAZNÍKEM PŘED MONTÁŽÍ, POKUD NEBYLO DOHODNUTO JINAK</t>
  </si>
  <si>
    <t>WORK TO BE CARRIED OUT BY CUSTOMER, UNLESS IN ADVANCE OTHERWISE IS AGREED IN WRITING.</t>
  </si>
  <si>
    <t>VORBEREITUNGEN UND ARBEITEN DIE VOM AUFTRAGGEBER ZU ERBRINGEN SIND, AUßER BEI SCHRIFTLICHER VEREINBARUNG IM VORAUS:</t>
  </si>
  <si>
    <t>PRACE, KTÓRE MUSZĄ ZOSTAĆ WYKONANE PRZEZ KLIENTA PRZED WYKONANIEM MONTAŻU, O ILE NIE UZGODNIONO INACZEJ.</t>
  </si>
  <si>
    <t>APPROVISIONNEMENT &amp; TRAVAUX INCOMBANT AU MAITRE D'OUVRAGE  (sauf accord contraire)</t>
  </si>
  <si>
    <t xml:space="preserve">VOORZIENINGEN EN WERKZAAMHEDEN DOOR OPDRACHTGEVER TE VERZORGEN, TENZIJ VOORAF SCHRIFTELIJK ANDERS IS OVEREENGEKOMEN </t>
  </si>
  <si>
    <t>Kliendi poolt tehtavad ettevalmistustööd v.a juhul kui pole kirjalikult teistmoodi kokku lepitud</t>
  </si>
  <si>
    <t xml:space="preserve">ASIAKKAAN TEHTÄVÄT TYÖT, ELLEI ETUKÄTEEN KIRJALLISESTI MUUTOIN SOVITTU </t>
  </si>
  <si>
    <t>МАТЕРИАЛЫ И ПРОВЕДЕНИЕ РАБОТ ОБЕСПЕЧИВАЮТСЯ КЛИЕНТОМ,ЕСЛИ ИНОЕ НЕ ОГОВОРЕНО ЗАРАНЕЕ В ПИСЬМЕННОЙ ФОРМЕ</t>
  </si>
  <si>
    <t>Konstrukční:</t>
  </si>
  <si>
    <t>Constructional :</t>
  </si>
  <si>
    <t>Bauseits:</t>
  </si>
  <si>
    <t>Konstrukcyjne:</t>
  </si>
  <si>
    <t xml:space="preserve">Structure: </t>
  </si>
  <si>
    <t>Bouwkundig:</t>
  </si>
  <si>
    <t>Ehituslikud:</t>
  </si>
  <si>
    <t xml:space="preserve">
Rakenteellinen:</t>
  </si>
  <si>
    <t>Конструктивно:</t>
  </si>
  <si>
    <t>Příprava montážních ploch pro vedení vrat a pro pružiny.</t>
  </si>
  <si>
    <t>Supply and fix mounting frame and mounting surfaces for the rails and the spring packet in case of aerated concrete or sandwichpanels etc.</t>
  </si>
  <si>
    <t>Ein stählerner Montagerahmen zur Befestigung der vertikalen Laufschienen und des Federpakets bei nicht tragfähigen Flächen wie z.B. Porenbeton, Gasbeton, Isolationspanelen u.s.w..</t>
  </si>
  <si>
    <t>Przygotowanie powierzchni montażowych dla prowadzenia bramy oraz dla sprężyn.</t>
  </si>
  <si>
    <t>Préparation de la structure de montage des rails de guidage et des ressorts pour une pose sur panneaux isolants</t>
  </si>
  <si>
    <t>Een stalen montageframe voor de bevestiging van de verticale looprails en het verenpakket bij niet dragende montagevlakken, zoals gasbeton, isolatiepanelen, sandwichpanelen enz.</t>
  </si>
  <si>
    <t>Avaettevalmistusraami tarnimine ja paigaldus siinide ja vedrude kinnituseks</t>
  </si>
  <si>
    <t>Toimittaa ja asentaa asennuskehyksen ja asennuspinnat kiskoille ja jousipaketille tapauksessa jossa kevytbetooni tai sandwich-paneeli jne.</t>
  </si>
  <si>
    <t>Стальная монтажная рама для установки вертикальных направляющих и пружин в случае не несущих монтажных поверхностей, таких как: газобетон, изоляционные панели, сэндвич-панели и т.д.</t>
  </si>
  <si>
    <t>Montáž vodorovného vedení může být max. 1 metr od pevné konstrukce.</t>
  </si>
  <si>
    <t>Mounting possibilities for the horizontal rails up to 1 meter above the rails must be provided.</t>
  </si>
  <si>
    <t>Befestigungsmöglichkeit für die Zwischen- und Endaufhängung der horizontalen Laufschienen bis zu max. 1 m über diesen Laufschienen.</t>
  </si>
  <si>
    <t>Montaż prowadzenia poziomego można wykonać w oddaleniu maks. 1 metra od konstrukcji stałej.</t>
  </si>
  <si>
    <t xml:space="preserve">Lorsque les possibilités de montage des rails horizontaux dépassent </t>
  </si>
  <si>
    <t>Bevestigingsmogelijkheid voor de tussen- en eindophanging van de horizontale looprails tot max. 1m boven deze looprails.</t>
  </si>
  <si>
    <t>Paigaldusruum ülalpool siini max. 1m</t>
  </si>
  <si>
    <t>Asennus mahdollisuudet vaakakiskoille enintään 1 metrin korkeudella kiskoista pitää olla mahdollista.</t>
  </si>
  <si>
    <t>Способы крепления для горизонтальных направляющих максимум до 1м над данными направляющими.</t>
  </si>
  <si>
    <t>Nezbytné montážní plochy a volný prostor dle nákresu.</t>
  </si>
  <si>
    <t>Necessary mounting surface and free room as shown.</t>
  </si>
  <si>
    <t>Benötigte Montageflächen und Freiräume gemäß Zeichnung.</t>
  </si>
  <si>
    <t>Niezbędne powierzchnie montażowe oraz wolna przestrzeń wg rysunku.</t>
  </si>
  <si>
    <t>Adapter la structure et l' espace disponible selon nos plans de réservations ci-contre</t>
  </si>
  <si>
    <t>Benodigde montagevlakken en vrije ruimtes, volgens tekening.</t>
  </si>
  <si>
    <t>Piisav paigaldusruum vastavalt lisatud joonisele</t>
  </si>
  <si>
    <t>Tarvittava kiinnityspinta ja vapaa tilaa kuvan mukaisesti.</t>
  </si>
  <si>
    <t>Необходимые монтажные поверхности и свободное пространство в соответствии с чертежом</t>
  </si>
  <si>
    <t xml:space="preserve">Elektrická příprava (pro elektricky ovládaná sekční vrata): </t>
  </si>
  <si>
    <t>Electrical supply required to be :</t>
  </si>
  <si>
    <t>Elektrisch (bei elektrisch bedienten Toren):</t>
  </si>
  <si>
    <t>Przygotowanie elektryczne (dla elektrycznie sterowanej bramy segmentowej) :</t>
  </si>
  <si>
    <t>Alimentation electrique  (pour porte motorisée) :</t>
  </si>
  <si>
    <t>Elektrisch: (bij elektrisch bediende deuren)</t>
  </si>
  <si>
    <t>Elektriliselt avatavate uste jaoks</t>
  </si>
  <si>
    <t>Sähkönsyöttö tarvittu:</t>
  </si>
  <si>
    <t>Электрика (для ворот с электрическим управлением):</t>
  </si>
  <si>
    <t>Zásuvka CEE 16 A, 5P, 400 V = zásuvka s nulovým a zemnícím vodičem</t>
  </si>
  <si>
    <t>400V/230V 3 phase neutral and earth terminating, provided by euro plug socket.</t>
  </si>
  <si>
    <t>Stromzufuhr 400V/230V mittels Eurosteckdose, 3 Phasen+0+PE max.1 meter vom Schaltkasten.</t>
  </si>
  <si>
    <t>Gniazdo CEE 16 A, 5P, 400 V = gniazdo z przewodnikiem zerowym i uziemiającym</t>
  </si>
  <si>
    <t>400V triphase T+N avec prise de raccordement CEE 16 A</t>
  </si>
  <si>
    <t xml:space="preserve">Voeding  400V/230V door middel van eurostopcontact, 3 fase+0+PE max. </t>
  </si>
  <si>
    <t>Toite vedu ajamini - 400V/230V, 3 faasi</t>
  </si>
  <si>
    <t>400V / 230V 3 vaihe+neutraali ja maadoitus tarjotuna Euro pistorasiasta.</t>
  </si>
  <si>
    <t xml:space="preserve">Питание 400V/230V посредством заземленной евророзетки, 3 фазы+0+РЕ </t>
  </si>
  <si>
    <t>Zajistit vhodnou montážní plochu pro řídící jednotku motoru 250 x 320 mm</t>
  </si>
  <si>
    <t>Provide suitable mounting surface for control panel, dimensions 250 x 320 mm</t>
  </si>
  <si>
    <t>Montagefläche für Schaltkasten, Abmessungen 250 x 400 mm</t>
  </si>
  <si>
    <t>Zapewnić odpowiednią powierzchnię montażową dla jednostki sterującej silnika 250x400 mm</t>
  </si>
  <si>
    <t>Assurer une surface de montage adéquate pour le coffret de commande du moteur L.250 x H.400 mm</t>
  </si>
  <si>
    <t>Montagevlak t.b.v. schakelkast, afmetingen 250 x 400 mm</t>
  </si>
  <si>
    <t>Kontrolleri jaoks piisava paigaldusruumi tagamine 250x400 mm</t>
  </si>
  <si>
    <t>Tarjoa sopivan kiinnityspinnan  ohjauspaneelia varten ,mitat 250 x 400 mm</t>
  </si>
  <si>
    <t>необходимо обеспечить монтажную поверхность для панели управления, размеры 250х400 мм</t>
  </si>
  <si>
    <t>NEZBYTNÁ MONTÁŽNÍ PLOCHA</t>
  </si>
  <si>
    <t>NECESSARY MOUNTING SURFACE</t>
  </si>
  <si>
    <t>BENÖTIGTE MONTAGEFLÄCHEN</t>
  </si>
  <si>
    <t>NIEZBĘDNA POWIERZCHNIA MONTAŻOWA</t>
  </si>
  <si>
    <t>SURFACE NECESSAIRE DE MONTAGE</t>
  </si>
  <si>
    <t>BENODIGDE MONTAGEVLAKKEN</t>
  </si>
  <si>
    <t>Vajalik paigaldusruum</t>
  </si>
  <si>
    <t>TARVITTAVA KIINNITYSPINTA</t>
  </si>
  <si>
    <t>необходимая монтажная поверхность</t>
  </si>
  <si>
    <t>DODATEČNÉ MONTÁŽNÍ PLOCHY PRO KONZOLY</t>
  </si>
  <si>
    <t>EXTRA PLANES AT WEAK SURFACES</t>
  </si>
  <si>
    <t>MONTAGEFLÄCHE FÜR DEN MOTOR</t>
  </si>
  <si>
    <t>Dodatkowych obszarach montażu konsoli</t>
  </si>
  <si>
    <t>FACILITÉ DE MONTAGE ADDITIONNEL POUR CONSOLE</t>
  </si>
  <si>
    <t>EXTRA VLAKKEN BIJ ZWAKKE ONDERGROND</t>
  </si>
  <si>
    <t>Lisaplaadid nõrgale pinnale</t>
  </si>
  <si>
    <t xml:space="preserve">LISÄ ASENNUSTILA </t>
  </si>
  <si>
    <t>металлокаркас из стальной профильной трубы</t>
  </si>
  <si>
    <t>NEZBYTNÝ VOLNÝ PROSTOR</t>
  </si>
  <si>
    <t>NECESSARY FREE ROOM</t>
  </si>
  <si>
    <t>BENÖTIGTER FREIRAUM</t>
  </si>
  <si>
    <t>niezbędne miejsce</t>
  </si>
  <si>
    <t>ESPACE LIBRE NECESSAIRE</t>
  </si>
  <si>
    <t>BENODIGDE VRIJE RUIMTE</t>
  </si>
  <si>
    <t xml:space="preserve">Vajalik vaba ruum </t>
  </si>
  <si>
    <t>TARVITTAVA VAPAA TILA</t>
  </si>
  <si>
    <t>необходимое свободное пространство</t>
  </si>
  <si>
    <t>VOLNÝ PROSTOR PRO MOTOR/ŘETĚZ.PŘEVOD</t>
  </si>
  <si>
    <t>EXTRA FREE ROOM FOR MOTOR/CHAIN</t>
  </si>
  <si>
    <t>EXTRA FREIRAUM FÜR MOTOR/KETTE</t>
  </si>
  <si>
    <t>Wolnego miejsca na silnik, napęd łańcuchowy</t>
  </si>
  <si>
    <t>ESPACE LIBRE POUR MOTEUR / CHAINE DE LEVAGE.</t>
  </si>
  <si>
    <t>EXTRA VRIJE RUIMTE BIJ MOTOR/KETTING</t>
  </si>
  <si>
    <t>Lisa vaba ruum mootorile/ketile</t>
  </si>
  <si>
    <t>LISÄTILA MOOTORIA/KETJUA VARTEN</t>
  </si>
  <si>
    <t>дополнительное свободное пространство для двигателя/подъемной цепи</t>
  </si>
  <si>
    <t>sklon podlahy</t>
  </si>
  <si>
    <t>fall of the floor</t>
  </si>
  <si>
    <t>Bodenneigung</t>
  </si>
  <si>
    <t>nachylenie podłogi</t>
  </si>
  <si>
    <t>réservations seuil béton</t>
  </si>
  <si>
    <t>vloer met waterkering</t>
  </si>
  <si>
    <t>pinna langus</t>
  </si>
  <si>
    <t>kaltevuus</t>
  </si>
  <si>
    <t>пол с водоотводом</t>
  </si>
  <si>
    <t>směrem ven</t>
  </si>
  <si>
    <t>outside</t>
  </si>
  <si>
    <t>nach aussen</t>
  </si>
  <si>
    <t>w kierunku na zewnątrz</t>
  </si>
  <si>
    <t>à l'extérieur</t>
  </si>
  <si>
    <t>buitenzijde</t>
  </si>
  <si>
    <t>väljaspool</t>
  </si>
  <si>
    <t>ulkopuoli</t>
  </si>
  <si>
    <t>sklon 3%</t>
  </si>
  <si>
    <t>fall 3%</t>
  </si>
  <si>
    <t>Gefälle 3%</t>
  </si>
  <si>
    <t>nachylenie 3%</t>
  </si>
  <si>
    <t>PENTE 3%</t>
  </si>
  <si>
    <t>afschot 3%</t>
  </si>
  <si>
    <t>langus 3%</t>
  </si>
  <si>
    <t>kaltevuus 3%</t>
  </si>
  <si>
    <t>наклон 3%</t>
  </si>
  <si>
    <t>internal level</t>
  </si>
  <si>
    <t>Wasserschenkel</t>
  </si>
  <si>
    <t>niveau binnen</t>
  </si>
  <si>
    <t>Sisemine tasand</t>
  </si>
  <si>
    <t>sisäinen taso</t>
  </si>
  <si>
    <t>floor with raised</t>
  </si>
  <si>
    <t>Boden mit</t>
  </si>
  <si>
    <t>pente du plancher</t>
  </si>
  <si>
    <t xml:space="preserve">vloer met  </t>
  </si>
  <si>
    <t>põrand koos tõstetud sisetasandiga</t>
  </si>
  <si>
    <t>lattia nostetulla</t>
  </si>
  <si>
    <t>пол с наклоном 3%</t>
  </si>
  <si>
    <t>nezbytný boční prostor pro motor nebo řetězový pohon</t>
  </si>
  <si>
    <t>necessary side room for electrical- or hauling chain operation</t>
  </si>
  <si>
    <t xml:space="preserve">Benötigter Freiraum bei Elektro- oder Haspelkettenbedienung </t>
  </si>
  <si>
    <t>niezbędna przestrzeń boczna dla silnika lub napędu łańcuchowego</t>
  </si>
  <si>
    <t>écoinçon minimum requis pour le moteur ou treuil a chaîne</t>
  </si>
  <si>
    <t>benodigde vrije ruimte voor elektrische- of ketting bediening</t>
  </si>
  <si>
    <t>vajalik küljeruum mootori või tali puhul</t>
  </si>
  <si>
    <t xml:space="preserve">tarvittava tila mootori- tai ketjunostolle </t>
  </si>
  <si>
    <t>необходимое боковое пространство для электропривода или цепного редуктора</t>
  </si>
  <si>
    <t>montážní plocha pro řídící jednotku. Rozměry najdete v dokumentaci ŘJ.</t>
  </si>
  <si>
    <t>Mounting surface for control panel. See product documentation for dimensions</t>
  </si>
  <si>
    <t>Montagefläche für Antriebsteuerung. Siehe Produktdokumentation für Abmessungen</t>
  </si>
  <si>
    <t>Powierzchnia montażowa dla jednostki sterującej. Wymiary można znaleźć w dokumentacji produktu</t>
  </si>
  <si>
    <t>Surface de montage pour le Coffret de commande</t>
  </si>
  <si>
    <t>Montagevlak t.b.v. Zie productdocumentatie voor afmetingen</t>
  </si>
  <si>
    <t>Kontrolli paigaldusala. Vaata toote dokumentatsiooni mõõtmete kohta</t>
  </si>
  <si>
    <t>Kiinnityspinta ohjauspaneelia varten. Katso mitat tuoteasiakirjoista</t>
  </si>
  <si>
    <t>монтажная поверхность для блока управления. Размеры см. в документации на изделие</t>
  </si>
  <si>
    <t>osa cca 1.400 až 1.500 mm od podlahy</t>
  </si>
  <si>
    <t>center line ca 1.400 -1.500 mm above floor</t>
  </si>
  <si>
    <t>Achse ca. 1.400 bis 1.500 mm vom Boden</t>
  </si>
  <si>
    <t>oś ok. 1.400 do 1.500 mm od podłogi</t>
  </si>
  <si>
    <t xml:space="preserve">axe d'env. 1 400 a 1 500 mm a compter </t>
  </si>
  <si>
    <t>hartlijn ca. 1.400 - 1.500 boven de vloer</t>
  </si>
  <si>
    <t>Keskjoon ca 1400-1500 mm põrandast</t>
  </si>
  <si>
    <t>keskiviiva ca 1,400 -1,500 mm: n korkeudella lattiasta</t>
  </si>
  <si>
    <t>осевая линия примерно 1.400-1.500 мм над уровнем пола</t>
  </si>
  <si>
    <t>Zásuvka, parametry najdete v dokumentaci produktu</t>
  </si>
  <si>
    <t>Electric outlet parameters can be found in the product documentation.</t>
  </si>
  <si>
    <t>Die Parameter der Steckdosen sind in der Produktdokumentation zu finden.</t>
  </si>
  <si>
    <t>Parametry gniazdka elektrycznego można znaleźć w dokumentacji produktu.</t>
  </si>
  <si>
    <t>Les paramètres des prises électriques sont indiqués dans la documentation du produit.</t>
  </si>
  <si>
    <t>De parameters van het stopcontact zijn te vinden in de productdocumentatie.</t>
  </si>
  <si>
    <t>Elektripistiku parameetrid leiate toote dokumentatsioonist.</t>
  </si>
  <si>
    <t>Pistorasian parametrit löytyvät tuoteasiakirjoista.</t>
  </si>
  <si>
    <t>Параметры электрической розетки приведены в документации на изделие.</t>
  </si>
  <si>
    <t>Stěna nad překladem, stěny vedle otvoru a plochy pro montáž konzol musí být rovné a v jedné rovině.</t>
  </si>
  <si>
    <t>The rear face of the lintel and the door jambs, as well as the surface for the spring packet must be levelled and in line.</t>
  </si>
  <si>
    <t>Die hinteren Seiten der Sturze und Pfeiler, sowie die Montagefläche für das Federpaket müssen eben und auf einer Linie liegen.</t>
  </si>
  <si>
    <t>Ściany tłumaczenia, obok ściany otworu oraz wszystkie obszary i zbiórki musi być kolor.</t>
  </si>
  <si>
    <t>La surface d'appui pour la pose de la porte sectionnelle doit etre dans le meme plan et verticale.</t>
  </si>
  <si>
    <t>De achterkanten van de penanten, de latei en de montagevlakken van het verenpakket dienen vlak en in één lijn te liggen.</t>
  </si>
  <si>
    <t>Kõik paigalduspinnad peavad olema ühes tasapinnas ja loodis</t>
  </si>
  <si>
    <t>Ylä ja sivukarmien sekä jousipaketin asennuspinnan pitää olla tasaisia ja samassa linjassa</t>
  </si>
  <si>
    <t>Монтажная поверхность должна быть ровной и распологаться в одной вертикальной плоскости</t>
  </si>
  <si>
    <t>Otvor musí být svislý a obdélníkový.</t>
  </si>
  <si>
    <t>Furthermore the opening must be plumb and square.</t>
  </si>
  <si>
    <t>Im übrigen müssen die lichten Masse eben und rechtwinklig sein.</t>
  </si>
  <si>
    <t>Otwór musi być pionowy i prostokątny.</t>
  </si>
  <si>
    <t>L'ouverture de la baie doit etre parfaitement de niveau et d'equerre.</t>
  </si>
  <si>
    <t>Tevens moet de dagmaat vlak en haaks zijn.</t>
  </si>
  <si>
    <t>Ava peab olema täpne ja nelinurkne</t>
  </si>
  <si>
    <t>Lisäksi oviaukon pitää olla pysty- ja vaakasuora sekä nelikulmainen.</t>
  </si>
  <si>
    <t>Проем также должен быть ровным и прямоугольным.</t>
  </si>
  <si>
    <t>W =</t>
  </si>
  <si>
    <t>Podlaha musí být rovná a vodorovná.</t>
  </si>
  <si>
    <t>Floor area must be flat and horizontal.</t>
  </si>
  <si>
    <t>Der Fussboden muss glatt und waagerecht sein.</t>
  </si>
  <si>
    <t>Podłoga musi być równa i pozioma.</t>
  </si>
  <si>
    <t>Le sol doit etre parfaitement horizontal et plan.</t>
  </si>
  <si>
    <t>De afgewerkte vloer dient vlak en waterpas te liggen.</t>
  </si>
  <si>
    <t>Põrandapind peab olema sile ja horisontaalne</t>
  </si>
  <si>
    <t>Lattian pitää olla tasainen ja vaakasuora.</t>
  </si>
  <si>
    <t>Обработанный пол должен быть ровным и без склонов.</t>
  </si>
  <si>
    <t>H =</t>
  </si>
  <si>
    <t>F</t>
  </si>
  <si>
    <t xml:space="preserve">min. 850; max 1450 </t>
  </si>
  <si>
    <t xml:space="preserve">HL = </t>
  </si>
  <si>
    <t>HL</t>
  </si>
  <si>
    <t>F - 250</t>
  </si>
  <si>
    <t xml:space="preserve">E = </t>
  </si>
  <si>
    <t>E</t>
  </si>
  <si>
    <t>H + F</t>
  </si>
  <si>
    <t>Rozměry jsou v mm</t>
  </si>
  <si>
    <t>UNITS in mm</t>
  </si>
  <si>
    <t>MASSE in mm</t>
  </si>
  <si>
    <t>Wymiary podane w mm</t>
  </si>
  <si>
    <t>MESURES en mm</t>
  </si>
  <si>
    <t>MATEN in mm</t>
  </si>
  <si>
    <t>Mõõdud mm</t>
  </si>
  <si>
    <t>YKSIKKÖ mm</t>
  </si>
  <si>
    <t>размеры в мм:</t>
  </si>
  <si>
    <t xml:space="preserve">F = </t>
  </si>
  <si>
    <t>ширина проема</t>
  </si>
  <si>
    <t xml:space="preserve">J = </t>
  </si>
  <si>
    <t>A</t>
  </si>
  <si>
    <t>K. Luňák</t>
  </si>
  <si>
    <t>R. Kříž</t>
  </si>
  <si>
    <t>STP</t>
  </si>
  <si>
    <t>-</t>
  </si>
  <si>
    <t>A3</t>
  </si>
  <si>
    <t>высота проема</t>
  </si>
  <si>
    <t xml:space="preserve">L = </t>
  </si>
  <si>
    <t>http://door-documents.com/en/indy-installation-drawing-hl1-t</t>
  </si>
  <si>
    <t>High lift</t>
  </si>
  <si>
    <t>Höhe der Führung</t>
  </si>
  <si>
    <t>Wyciąg wysoki</t>
  </si>
  <si>
    <t>LEEVE HAUTE</t>
  </si>
  <si>
    <t>Kõrge tõste</t>
  </si>
  <si>
    <t>korkeanosto</t>
  </si>
  <si>
    <t>Высокий подъем</t>
  </si>
  <si>
    <t xml:space="preserve">R = </t>
  </si>
  <si>
    <t>Výška stropu</t>
  </si>
  <si>
    <t>Interior height</t>
  </si>
  <si>
    <t>Höhe Innenraum</t>
  </si>
  <si>
    <t>Wysokość stropu</t>
  </si>
  <si>
    <t>HAUTEUR SOUS PLAFOND</t>
  </si>
  <si>
    <t>Hoogte binnenruimte</t>
  </si>
  <si>
    <t>Sisemine kõrgus</t>
  </si>
  <si>
    <t>sisäkorkeus</t>
  </si>
  <si>
    <t>высота внутри помещения до перекрытий</t>
  </si>
  <si>
    <t xml:space="preserve">D = </t>
  </si>
  <si>
    <t>J</t>
  </si>
  <si>
    <t>HL + 220</t>
  </si>
  <si>
    <t>Volný prostor nad překladem</t>
  </si>
  <si>
    <t>Free room above lintel</t>
  </si>
  <si>
    <t>Freiraum über Sturz</t>
  </si>
  <si>
    <t>Wolna przestrzeń nad nadprożem</t>
  </si>
  <si>
    <t>RETOMBEE DE LINTEAU DISPONIBLE</t>
  </si>
  <si>
    <t>Vrije ruimte boven latei</t>
  </si>
  <si>
    <t>Vaba ruum laeni</t>
  </si>
  <si>
    <t>vapaa ylätila</t>
  </si>
  <si>
    <t>свободное пространство над проемом</t>
  </si>
  <si>
    <t>X =</t>
  </si>
  <si>
    <t>Z</t>
  </si>
  <si>
    <t>Výška montážní plochy nad otvorem</t>
  </si>
  <si>
    <t>Height of frame above opening</t>
  </si>
  <si>
    <t>Höhe über Montagefläche Loch</t>
  </si>
  <si>
    <t>Wysokość powyżej otworu montażowego powierzchni</t>
  </si>
  <si>
    <t>HAUTEUR AU-DESSUS DU TROU DE SURFACE DE MONTAGE</t>
  </si>
  <si>
    <t>Hoogte frame boven latei</t>
  </si>
  <si>
    <t>Raami kõrgus ava kohal</t>
  </si>
  <si>
    <t>Rungon korkeus oviaukon yläpuolella.</t>
  </si>
  <si>
    <t>высота конструкции ворот над проемом</t>
  </si>
  <si>
    <t xml:space="preserve">Y = </t>
  </si>
  <si>
    <t>Volný prostor vlevo</t>
  </si>
  <si>
    <t>Free side room left</t>
  </si>
  <si>
    <t>Freiraum LINKS</t>
  </si>
  <si>
    <t>Wolna przestrzeń W LEWO</t>
  </si>
  <si>
    <t>ECOINCON GAUCHE</t>
  </si>
  <si>
    <t>Vrije zijruimte links</t>
  </si>
  <si>
    <t>Vaba küljeruum vasakul</t>
  </si>
  <si>
    <t>vapaa tila vasemalla</t>
  </si>
  <si>
    <t>свободное боковое пространство СЛЕВА</t>
  </si>
  <si>
    <t>Volný prostor vpravo</t>
  </si>
  <si>
    <t>Free side room right</t>
  </si>
  <si>
    <t>Freiraum RECHTS</t>
  </si>
  <si>
    <t>Wolna przestrzeń W PRAWO</t>
  </si>
  <si>
    <t>ECOINCON DROITE</t>
  </si>
  <si>
    <t>Vrije zijruimte rechts</t>
  </si>
  <si>
    <t>Vaba küljeruum paremal</t>
  </si>
  <si>
    <t>vapaa tila oikealla</t>
  </si>
  <si>
    <t>свободное боковое пространство СПРАВА</t>
  </si>
  <si>
    <t>C40-1C</t>
  </si>
  <si>
    <t>Hloubka vedení</t>
  </si>
  <si>
    <t>Back room</t>
  </si>
  <si>
    <t>Einbautiefe</t>
  </si>
  <si>
    <t>Głębokość prowadzenia poziomego</t>
  </si>
  <si>
    <t>REFOULEMENT HORS-TOUT</t>
  </si>
  <si>
    <t>Inbouwdiepte</t>
  </si>
  <si>
    <t>Sügavus</t>
  </si>
  <si>
    <t>tila takana</t>
  </si>
  <si>
    <t>монтажная глубина</t>
  </si>
  <si>
    <t>Kotvící bod č. 1</t>
  </si>
  <si>
    <t>1 st hanging point</t>
  </si>
  <si>
    <t>1. Aufhängepunkt</t>
  </si>
  <si>
    <t>Punkt mocowania nr 1</t>
  </si>
  <si>
    <t>POINT D'ANCRAGE 1 SUSPENTE</t>
  </si>
  <si>
    <t>1e ophangpunt</t>
  </si>
  <si>
    <t>1.kinnituskoht</t>
  </si>
  <si>
    <t>1. ripustuspiste</t>
  </si>
  <si>
    <t>1 точка крепления горизонтальных направляющих</t>
  </si>
  <si>
    <t>Kotvící bod č. 2</t>
  </si>
  <si>
    <t>2 nd hanging point</t>
  </si>
  <si>
    <t>2. Aufhängepunkt</t>
  </si>
  <si>
    <t>Punkt mocowania nr 2</t>
  </si>
  <si>
    <t>POINT D'ANCRAGE 2 SUSPENTE</t>
  </si>
  <si>
    <t>2e ophangpunt</t>
  </si>
  <si>
    <t>2.kinnituskoht</t>
  </si>
  <si>
    <t>2. ripustuspiste</t>
  </si>
  <si>
    <t>2 точка крепления горизонтальных направляющих</t>
  </si>
  <si>
    <t>Free room above mounting surface</t>
  </si>
  <si>
    <t>Freiplatz auf der Mountageplatz</t>
  </si>
  <si>
    <t>Wolny przestrzeń nad nadproźem</t>
  </si>
  <si>
    <t>Espace au-dessus de la surface de montage</t>
  </si>
  <si>
    <t>Ruimte boven montagevlak</t>
  </si>
  <si>
    <t>3. kinnituskohta</t>
  </si>
  <si>
    <t>3. ripustuspiste</t>
  </si>
  <si>
    <t>3 точка крепления горизонтальных направляющих</t>
  </si>
  <si>
    <t>Ruční ovládání</t>
  </si>
  <si>
    <t>Manually operated</t>
  </si>
  <si>
    <t>Handbedienung</t>
  </si>
  <si>
    <t>Sterowanie ręczne</t>
  </si>
  <si>
    <t>PORTE MANUELLE</t>
  </si>
  <si>
    <t>Handbediend</t>
  </si>
  <si>
    <t>Vaba ruum ülalpool paigalduspinda</t>
  </si>
  <si>
    <t>Vapaa tila asennuspisten kohdalla</t>
  </si>
  <si>
    <t>технологический зазор</t>
  </si>
  <si>
    <t>Obě strany</t>
  </si>
  <si>
    <t>Both sided</t>
  </si>
  <si>
    <t>Beide Seiten</t>
  </si>
  <si>
    <t>Obie strony</t>
  </si>
  <si>
    <t>LES 2 COTES</t>
  </si>
  <si>
    <t>Beide zijden</t>
  </si>
  <si>
    <t>Käsitsi avatav</t>
  </si>
  <si>
    <t>Käsikäyttöinen</t>
  </si>
  <si>
    <t>ручное управление</t>
  </si>
  <si>
    <t>Ovládání elektricky nebo řetězovým převodem</t>
  </si>
  <si>
    <t>Electrical or hauling chain operated</t>
  </si>
  <si>
    <t>Elektrisch- oder Haspelkettenbedient</t>
  </si>
  <si>
    <t>Sterowanie elektr. lub za pom. przekł. łańc.</t>
  </si>
  <si>
    <t>PORTE MOTORISEE OU AVEC TREUIL A CHAINE</t>
  </si>
  <si>
    <t>Elektrisch- of handketting bediend</t>
  </si>
  <si>
    <t>Mõlemal pool</t>
  </si>
  <si>
    <t xml:space="preserve">
Kaksipuoleinen</t>
  </si>
  <si>
    <t>обе стороны</t>
  </si>
  <si>
    <t>Motor nebo řetěz. př.</t>
  </si>
  <si>
    <t>Motor or chain side</t>
  </si>
  <si>
    <t>Motor-oder Kettenseite</t>
  </si>
  <si>
    <t>Silnik lub przekł. łańc.</t>
  </si>
  <si>
    <t>ECOINCON LIBRE A COTE DE MOTEUR</t>
  </si>
  <si>
    <t>Motor- of kettingzijde</t>
  </si>
  <si>
    <t>Elektriliselt või taliga avatav</t>
  </si>
  <si>
    <t>Sähkö- tai ketjukäytöinen</t>
  </si>
  <si>
    <t>электрическое управление или с помощью цепи</t>
  </si>
  <si>
    <t>Głębokość prowadzenia</t>
  </si>
  <si>
    <t>Mootori või tali pool</t>
  </si>
  <si>
    <t>Mootorin tai ketjun puolinen</t>
  </si>
  <si>
    <t>сторона цепи или мотора</t>
  </si>
  <si>
    <t>Kotvící bod, když je</t>
  </si>
  <si>
    <t>Hanging point if</t>
  </si>
  <si>
    <t>Aufhängepunkte, wenn</t>
  </si>
  <si>
    <t>Punkty mocowania, jeżeli</t>
  </si>
  <si>
    <t>POINT D'ANCRAGE DES SUSPENTES, SI</t>
  </si>
  <si>
    <t>Ophangpunt, als</t>
  </si>
  <si>
    <t>Tila takana</t>
  </si>
  <si>
    <t>Kotvící bod</t>
  </si>
  <si>
    <t>Hanging point</t>
  </si>
  <si>
    <t>Aufhängepunkte</t>
  </si>
  <si>
    <t>Punkty mocowania</t>
  </si>
  <si>
    <t>POINT D'ANCRAGE DES SUSPENTES</t>
  </si>
  <si>
    <t>Ophangpunt</t>
  </si>
  <si>
    <t xml:space="preserve">Kinnituskoht, kui </t>
  </si>
  <si>
    <t>Ripustuspiste jos</t>
  </si>
  <si>
    <t>точки крепления горизонтальных направляющих, если</t>
  </si>
  <si>
    <t>Wolna przestrzeń nad nadprożem (min.)</t>
  </si>
  <si>
    <t>Kinntuskoht</t>
  </si>
  <si>
    <t>Ripustuspiste</t>
  </si>
  <si>
    <t>точка крепления</t>
  </si>
  <si>
    <t>Osa hřídele nad překladem</t>
  </si>
  <si>
    <t>Height of shaft above lintel</t>
  </si>
  <si>
    <t>Mitte Achse zum Sturz</t>
  </si>
  <si>
    <t>Oś wału nad nadprożem</t>
  </si>
  <si>
    <t>POSITIONNEMENT AXE DE l'ARBRE DE LINTEAU</t>
  </si>
  <si>
    <t>Center as boven latei</t>
  </si>
  <si>
    <t>Vaba ruum sillusest  laeni</t>
  </si>
  <si>
    <t>Tila oviaukon päällä</t>
  </si>
  <si>
    <t>Kesktelg</t>
  </si>
  <si>
    <t>Akseli ovipalkkin päällä</t>
  </si>
  <si>
    <t>центральная ось вала</t>
  </si>
  <si>
    <t>Sestavil:</t>
  </si>
  <si>
    <t>Designed by:</t>
  </si>
  <si>
    <t>Aufgestellt:</t>
  </si>
  <si>
    <t>Wykonał:</t>
  </si>
  <si>
    <t>DESSINE PAR:</t>
  </si>
  <si>
    <t>Getekend door:</t>
  </si>
  <si>
    <t>Joonestatud:</t>
  </si>
  <si>
    <t xml:space="preserve">
Suunnitellut:</t>
  </si>
  <si>
    <t>спроектировано:</t>
  </si>
  <si>
    <t>Upravil:</t>
  </si>
  <si>
    <t>Checked by</t>
  </si>
  <si>
    <t>Bereinigt:</t>
  </si>
  <si>
    <t>Skorygował:</t>
  </si>
  <si>
    <t>MODIFIE PAR:</t>
  </si>
  <si>
    <t>Gecontroleerd door:</t>
  </si>
  <si>
    <t>Kontrollitud:</t>
  </si>
  <si>
    <t>Tarkistanut</t>
  </si>
  <si>
    <t>проверил:</t>
  </si>
  <si>
    <t>Schváleno - datum:</t>
  </si>
  <si>
    <t>Approved by - date:</t>
  </si>
  <si>
    <t>Bereinigt am:</t>
  </si>
  <si>
    <t>Skorygowano dnia:</t>
  </si>
  <si>
    <t>MODIFIE LE (DATE):</t>
  </si>
  <si>
    <t>Goedgekeurd datum:</t>
  </si>
  <si>
    <t>Kinnitatud:</t>
  </si>
  <si>
    <t xml:space="preserve">
Hyväksytty - päivämäärä:</t>
  </si>
  <si>
    <t>одобрил-дата:</t>
  </si>
  <si>
    <t>Název souboru:</t>
  </si>
  <si>
    <t>File name:</t>
  </si>
  <si>
    <t>Dateiname:</t>
  </si>
  <si>
    <t>Nazwa pliku:</t>
  </si>
  <si>
    <t>TITRE:</t>
  </si>
  <si>
    <t>Bestandsnaam</t>
  </si>
  <si>
    <t>Faili nimi:</t>
  </si>
  <si>
    <t xml:space="preserve">
Tiedoston nimi:</t>
  </si>
  <si>
    <t>навание файла:</t>
  </si>
  <si>
    <t>Datum:</t>
  </si>
  <si>
    <t>Date:</t>
  </si>
  <si>
    <t>Data:</t>
  </si>
  <si>
    <t>DATE:</t>
  </si>
  <si>
    <t>Kuupäev:</t>
  </si>
  <si>
    <t>Päivämäärä:</t>
  </si>
  <si>
    <t>дата:</t>
  </si>
  <si>
    <t>Měřítko</t>
  </si>
  <si>
    <t>Scale:</t>
  </si>
  <si>
    <t>Massst.:</t>
  </si>
  <si>
    <t>Podział.:</t>
  </si>
  <si>
    <t>ECHELLE:</t>
  </si>
  <si>
    <t>Schaal:</t>
  </si>
  <si>
    <t>Mõõtkava:</t>
  </si>
  <si>
    <t>Mittakaava:</t>
  </si>
  <si>
    <t>шкала:</t>
  </si>
  <si>
    <t xml:space="preserve">Formát: </t>
  </si>
  <si>
    <t>Sheet:</t>
  </si>
  <si>
    <t>Format:</t>
  </si>
  <si>
    <t>FORMAT:</t>
  </si>
  <si>
    <t>Formaat:</t>
  </si>
  <si>
    <t>Lista:</t>
  </si>
  <si>
    <t>лист:</t>
  </si>
  <si>
    <t>STAVEBNÍ PŘIPRAVENOST VEDENÍ           S PŘEDMONT. HŘÍDELÍ PRO VYSOKÝ PŘEKLAD (HL-1T) HL&lt;1200</t>
  </si>
  <si>
    <t>INSTALLATION DRAWING PRE-ASSEMBLED HIGH LIFT SYSTEM (HL-1T) HL &lt; 1200</t>
  </si>
  <si>
    <t>EINBAUZEICHNUNG VORMONTIERTER HÖHERGEFÜHRTER BESCHLAG (HL-1T) HL &lt; 1200</t>
  </si>
  <si>
    <t>PRZYGOTOWANIE_KONSTRUKCYJNE Zarządzanie z PŘEDMONT. WAŁ DO DUŻEJ TŁUMACZENIA (HL-1T) HL &lt;1200</t>
  </si>
  <si>
    <t>PLAN DE L'INSTALLATION POUR SYSTEME LINTEAU HAUT PRE-ASSEMBLE (HL-1T) HL &lt; 1200</t>
  </si>
  <si>
    <t>INBOUWTEKENING VOORGEASSEMBLEERD HOOG PLAFONDSYSTEEM (HL-1T) HL &lt;  1200</t>
  </si>
  <si>
    <t>Paigaldusjoonis HL-1T tõstele (vedrud konsoolil), HL &lt; 1200</t>
  </si>
  <si>
    <t>ASENNUSPIIRUSTUS ESIKOOTTU KORKEANOSTO JÄRJESTELMÄ (HL-1T) HL &lt; 1200</t>
  </si>
  <si>
    <t>МОНТАЖНЫЙ ЧЕРТЕЖ ПРЕДСОБРАННАЯ СИСТЕМА С ВЫСОКИМ ПОДЪЕМОМ (HL-1T)  HL&lt;1200</t>
  </si>
  <si>
    <t xml:space="preserve">pružiny nad překladem </t>
  </si>
  <si>
    <t xml:space="preserve">springs above lintel </t>
  </si>
  <si>
    <t xml:space="preserve"> Federn oberhalb des Sturzes </t>
  </si>
  <si>
    <t xml:space="preserve">sprężyny nad nadprożem </t>
  </si>
  <si>
    <t>vedrud ava kohal</t>
  </si>
  <si>
    <t>VERTIKÁLNÍ SYSTÉM</t>
  </si>
  <si>
    <t>VERTICAL LIFT SYSTEM</t>
  </si>
  <si>
    <t>VERTIKALER BESCHLAG (VL-T)</t>
  </si>
  <si>
    <t>PROWADZENIE PIONOWE (VL-T)</t>
  </si>
  <si>
    <t>LEVEE VERTICALE (VL)</t>
  </si>
  <si>
    <t>VERTICAAL PLAFONDSYSTEEM</t>
  </si>
  <si>
    <t>Kód:</t>
  </si>
  <si>
    <t>Code:</t>
  </si>
  <si>
    <t>Kode:</t>
  </si>
  <si>
    <t>Kod:</t>
  </si>
  <si>
    <t>CODE:</t>
  </si>
  <si>
    <t>Nr.:</t>
  </si>
  <si>
    <t>Kood:</t>
  </si>
  <si>
    <t>Koodi:</t>
  </si>
  <si>
    <t>код:</t>
  </si>
  <si>
    <t>Verze:</t>
  </si>
  <si>
    <t>Version:</t>
  </si>
  <si>
    <t>Wersja:</t>
  </si>
  <si>
    <t>VERSION:</t>
  </si>
  <si>
    <t>Versie:</t>
  </si>
  <si>
    <t>Versioon:</t>
  </si>
  <si>
    <t>Versio:</t>
  </si>
  <si>
    <t>версия:</t>
  </si>
  <si>
    <t>NENÍ POŽADOVÁNO</t>
  </si>
  <si>
    <t>NOT REQUIRED</t>
  </si>
  <si>
    <t>NICHT ERFORDELICH</t>
  </si>
  <si>
    <t>Nie jest wymagane</t>
  </si>
  <si>
    <t>Pas nécessaire</t>
  </si>
  <si>
    <t>NIET BENODIGD</t>
  </si>
  <si>
    <t>Mitte vajalik</t>
  </si>
  <si>
    <t>EI VAADITTU</t>
  </si>
  <si>
    <t>НЕ ТРЕБУЕТСЯ</t>
  </si>
  <si>
    <t>Prosím, vyplňte pole, která jsou označena barevně!</t>
  </si>
  <si>
    <t>Please, fill in the fields that are marked in color!</t>
  </si>
  <si>
    <t>Fülen Sie bitte markierte Felder!</t>
  </si>
  <si>
    <t>Prosimy o wypełnienie pól oznaczonych kolorem!</t>
  </si>
  <si>
    <t>S'il vous plaît remplissez les champs qui sont marqués en couleur!</t>
  </si>
  <si>
    <t>Vul a.u.b. de gemarkeerde velden in!</t>
  </si>
  <si>
    <t>Palun täida värvilised väljad!</t>
  </si>
  <si>
    <t xml:space="preserve">
Täytä kentät, jotka on merkitty värillä!</t>
  </si>
  <si>
    <t>пожалуйста, заполните поля обозначенные цветом!</t>
  </si>
  <si>
    <t>Ovládání</t>
  </si>
  <si>
    <t>Operated</t>
  </si>
  <si>
    <t>Bedienung</t>
  </si>
  <si>
    <t>Sterowanie</t>
  </si>
  <si>
    <t>PORTE</t>
  </si>
  <si>
    <t>Bediening</t>
  </si>
  <si>
    <t>Avamine</t>
  </si>
  <si>
    <t>Ohjattu</t>
  </si>
  <si>
    <t>Тип управления</t>
  </si>
  <si>
    <t>ručně</t>
  </si>
  <si>
    <t>manually</t>
  </si>
  <si>
    <t>hand</t>
  </si>
  <si>
    <t>ręcznie wykonany</t>
  </si>
  <si>
    <t>MANUELLE</t>
  </si>
  <si>
    <t>käsitsi</t>
  </si>
  <si>
    <t>manuaalisesti</t>
  </si>
  <si>
    <t>вручную</t>
  </si>
  <si>
    <t>elektricky</t>
  </si>
  <si>
    <t xml:space="preserve">electrical </t>
  </si>
  <si>
    <t>elektrisch</t>
  </si>
  <si>
    <t>elektrycznie</t>
  </si>
  <si>
    <t>MOTORISEE</t>
  </si>
  <si>
    <t>elektriliselt</t>
  </si>
  <si>
    <t>sähköisesti</t>
  </si>
  <si>
    <t>řetězovým převodem vlevo</t>
  </si>
  <si>
    <t>hauling chain operated - left</t>
  </si>
  <si>
    <t>Haspelkette - links</t>
  </si>
  <si>
    <t>Łańcuch napędu -  lewy</t>
  </si>
  <si>
    <t>TREUIL A CHAINE - gauche</t>
  </si>
  <si>
    <t>handketting - links</t>
  </si>
  <si>
    <t>taliga - vasakule</t>
  </si>
  <si>
    <t>ketjukäyttöinen - vasen</t>
  </si>
  <si>
    <t xml:space="preserve">цепной привод -  левый
</t>
  </si>
  <si>
    <t>řetězovým převodem vpravo</t>
  </si>
  <si>
    <t>hauling chain operated - right</t>
  </si>
  <si>
    <t>Haspelkette - rechts</t>
  </si>
  <si>
    <t>Łańcuch napędu -  prawy</t>
  </si>
  <si>
    <t>TREUIL A CHAINE - droite</t>
  </si>
  <si>
    <t>handketting - rechts</t>
  </si>
  <si>
    <t>taliga - paremale</t>
  </si>
  <si>
    <t>ketjukäyttöinen - oikea</t>
  </si>
  <si>
    <t>цепной привод -  правая</t>
  </si>
  <si>
    <t>Umístění motoru</t>
  </si>
  <si>
    <t>Position of motor</t>
  </si>
  <si>
    <t>Antriebesposition</t>
  </si>
  <si>
    <t>Pozycja sylnika</t>
  </si>
  <si>
    <t>LA POSITION MOTEUR</t>
  </si>
  <si>
    <t>Positie van de motor</t>
  </si>
  <si>
    <t>mootori asukohta</t>
  </si>
  <si>
    <t>Mootorin asema</t>
  </si>
  <si>
    <t>расположение мотора</t>
  </si>
  <si>
    <t>Elektricky - motor vlevo</t>
  </si>
  <si>
    <t>electric motor on the left</t>
  </si>
  <si>
    <t>Antrieb - links</t>
  </si>
  <si>
    <t>silnik elektryczny po lewej stronie</t>
  </si>
  <si>
    <t>moteur électrique à gauche</t>
  </si>
  <si>
    <t>elektromotor links</t>
  </si>
  <si>
    <t>elektrimootor vasakul</t>
  </si>
  <si>
    <t>sähkömoottori oikealla</t>
  </si>
  <si>
    <t>электродвигатель слева</t>
  </si>
  <si>
    <t>Elektricky - motor vpravo</t>
  </si>
  <si>
    <t>electric motor on the right</t>
  </si>
  <si>
    <t>Antrieb - rechts</t>
  </si>
  <si>
    <t>silnik elektryczny po prawej stronie</t>
  </si>
  <si>
    <t>moteur électrique à droite</t>
  </si>
  <si>
    <t>elektromotor rechts</t>
  </si>
  <si>
    <t>elektrimootor paremal</t>
  </si>
  <si>
    <t>sähkömoottori vasemmalla</t>
  </si>
  <si>
    <t>электродвигатель справа</t>
  </si>
  <si>
    <t>Ocelovou konstrukci svařit z profilu 100x50x4 dle uvedených rozměrů</t>
  </si>
  <si>
    <t>Welded steel construction of the profile according to the dimensions 100x50x4</t>
  </si>
  <si>
    <t>Geschweißte Stahlkonstruktion des Profils nach dem Maße 100x50x4</t>
  </si>
  <si>
    <t>Stalowa konstrukcja spawana z profilu według wymiarów 100x50x4</t>
  </si>
  <si>
    <t>Construction en acier soudé du profil en fonction de la dimension 100x50x4</t>
  </si>
  <si>
    <t>Staalconstructie van het profiel 100x50x4 volgens de afmetingen lassen</t>
  </si>
  <si>
    <t>Keevitatud teraskonstrukstioon 100x50x4 profiilidest</t>
  </si>
  <si>
    <t>Profiilin hitsattu teräsrakenne mittojen mukaan 100x50x4</t>
  </si>
  <si>
    <t>Стальная конструкция из профильной трубы 100х50х4 мм</t>
  </si>
  <si>
    <t>Nabídka/Objednávka:</t>
  </si>
  <si>
    <t>Offer/Order:</t>
  </si>
  <si>
    <t>Angebot/Bestellung:</t>
  </si>
  <si>
    <t>Oferta/Zamówienie:</t>
  </si>
  <si>
    <t>Offre/Commande:</t>
  </si>
  <si>
    <t>Offerte/Order:</t>
  </si>
  <si>
    <t>Pakkumine/tellimus:</t>
  </si>
  <si>
    <t>Tarjous/Tilaus:</t>
  </si>
  <si>
    <t>Предложение/заказ:</t>
  </si>
  <si>
    <t>Pozice:</t>
  </si>
  <si>
    <t>Position:</t>
  </si>
  <si>
    <t>Pozycje:</t>
  </si>
  <si>
    <t>Positions:</t>
  </si>
  <si>
    <t>Positie:</t>
  </si>
  <si>
    <t>Ametikohad:</t>
  </si>
  <si>
    <t>Työpaikat:</t>
  </si>
  <si>
    <t>Позиции:</t>
  </si>
  <si>
    <t>Typ panelu</t>
  </si>
  <si>
    <t>Type of panel</t>
  </si>
  <si>
    <t>Paneel-Typ</t>
  </si>
  <si>
    <t>Rodzaj panelu</t>
  </si>
  <si>
    <t>Type de panneau</t>
  </si>
  <si>
    <t>Panel type</t>
  </si>
  <si>
    <t>Paneelitüüp</t>
  </si>
  <si>
    <t>lamellin tyypi</t>
  </si>
  <si>
    <t>Тип панели</t>
  </si>
  <si>
    <t>40mm</t>
  </si>
  <si>
    <t>40 mm</t>
  </si>
  <si>
    <t xml:space="preserve"> 40 mm</t>
  </si>
  <si>
    <t>40 mm </t>
  </si>
  <si>
    <t xml:space="preserve">40мм </t>
  </si>
  <si>
    <t>80mm</t>
  </si>
  <si>
    <t>80 mm</t>
  </si>
  <si>
    <t xml:space="preserve"> 80 mm</t>
  </si>
  <si>
    <t>80 mm </t>
  </si>
  <si>
    <t xml:space="preserve"> 80мм </t>
  </si>
  <si>
    <t>Strana motoru</t>
  </si>
  <si>
    <t xml:space="preserve">Motor side </t>
  </si>
  <si>
    <t xml:space="preserve">Antriebseite </t>
  </si>
  <si>
    <t xml:space="preserve">Strona silnika </t>
  </si>
  <si>
    <t xml:space="preserve">Côté moteur </t>
  </si>
  <si>
    <t xml:space="preserve">Motorzijde </t>
  </si>
  <si>
    <t xml:space="preserve">Mootori pool </t>
  </si>
  <si>
    <t xml:space="preserve">Moottorin puoli </t>
  </si>
  <si>
    <t xml:space="preserve">Сторона двигателя </t>
  </si>
  <si>
    <t>Druhá strana</t>
  </si>
  <si>
    <t>Other side</t>
  </si>
  <si>
    <t xml:space="preserve">Andere Seite </t>
  </si>
  <si>
    <t xml:space="preserve">Druga strona </t>
  </si>
  <si>
    <t xml:space="preserve">Autre côté </t>
  </si>
  <si>
    <t xml:space="preserve">Andere kant </t>
  </si>
  <si>
    <t xml:space="preserve">Teine pool </t>
  </si>
  <si>
    <t xml:space="preserve">Muu puoli </t>
  </si>
  <si>
    <t xml:space="preserve">Другая сторона </t>
  </si>
  <si>
    <t>Pomocné výpočty</t>
  </si>
  <si>
    <t>W=</t>
  </si>
  <si>
    <t xml:space="preserve">L+ W + R = </t>
  </si>
  <si>
    <t>Vlevo nahoře</t>
  </si>
  <si>
    <t>Vpravo nahoře</t>
  </si>
  <si>
    <t>D</t>
  </si>
  <si>
    <t>Plocha pro výpočet pomocné konzole 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</si>
</sst>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8"/>
      <color rgb="FFFFAD5B"/>
      <name val="Calibri"/>
      <family val="2"/>
      <charset val="238"/>
    </font>
    <font>
      <b/>
      <sz val="10"/>
      <name val="Arial"/>
      <family val="2"/>
      <charset val="238"/>
    </font>
    <font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name val="Calibri"/>
      <family val="2"/>
      <charset val="238"/>
    </font>
    <font>
      <sz val="11"/>
      <color indexed="8"/>
      <name val="Arial"/>
      <family val="2"/>
      <charset val="238"/>
    </font>
    <font>
      <sz val="14"/>
      <color indexed="8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2"/>
      <name val="Calibri"/>
      <family val="2"/>
      <charset val="238"/>
    </font>
    <font>
      <sz val="12"/>
      <color indexed="8"/>
      <name val="Arial"/>
      <family val="2"/>
      <charset val="238"/>
    </font>
    <font>
      <sz val="10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21"/>
      <color indexed="8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indexed="18"/>
      <name val="Calibri"/>
      <family val="2"/>
      <charset val="238"/>
    </font>
    <font>
      <sz val="10"/>
      <name val="Arial"/>
      <family val="2"/>
    </font>
    <font>
      <b/>
      <sz val="11"/>
      <color rgb="FFFF0000"/>
      <name val="Calibri"/>
      <family val="2"/>
      <charset val="238"/>
      <scheme val="minor"/>
    </font>
    <font>
      <sz val="10"/>
      <color indexed="8"/>
      <name val="Arial Unicode MS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20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1" fillId="0" borderId="0" xfId="0" applyFont="1"/>
    <xf numFmtId="0" fontId="1" fillId="0" borderId="5" xfId="0" applyFont="1" applyBorder="1"/>
    <xf numFmtId="0" fontId="4" fillId="2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3" borderId="0" xfId="0" applyFill="1"/>
    <xf numFmtId="0" fontId="5" fillId="0" borderId="0" xfId="0" applyFont="1"/>
    <xf numFmtId="0" fontId="1" fillId="4" borderId="0" xfId="0" applyFont="1" applyFill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1" fillId="0" borderId="4" xfId="0" applyFont="1" applyBorder="1"/>
    <xf numFmtId="0" fontId="7" fillId="3" borderId="0" xfId="0" applyFont="1" applyFill="1"/>
    <xf numFmtId="0" fontId="1" fillId="5" borderId="0" xfId="0" applyFont="1" applyFill="1" applyAlignment="1" applyProtection="1">
      <alignment horizontal="center"/>
      <protection locked="0"/>
    </xf>
    <xf numFmtId="0" fontId="8" fillId="0" borderId="0" xfId="0" applyFont="1"/>
    <xf numFmtId="0" fontId="7" fillId="0" borderId="0" xfId="0" applyFont="1"/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0" fontId="9" fillId="0" borderId="12" xfId="0" applyFont="1" applyBorder="1"/>
    <xf numFmtId="0" fontId="9" fillId="0" borderId="0" xfId="0" applyFont="1"/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/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/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/>
    </xf>
    <xf numFmtId="0" fontId="11" fillId="0" borderId="12" xfId="0" applyFont="1" applyBorder="1" applyAlignment="1">
      <alignment vertical="center" textRotation="90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vertical="center" textRotation="90"/>
    </xf>
    <xf numFmtId="0" fontId="18" fillId="0" borderId="0" xfId="0" applyFont="1"/>
    <xf numFmtId="0" fontId="19" fillId="0" borderId="0" xfId="0" applyFont="1"/>
    <xf numFmtId="0" fontId="11" fillId="0" borderId="0" xfId="0" applyFont="1" applyAlignment="1">
      <alignment textRotation="90"/>
    </xf>
    <xf numFmtId="0" fontId="6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" fillId="0" borderId="12" xfId="0" applyFont="1" applyBorder="1"/>
    <xf numFmtId="0" fontId="7" fillId="0" borderId="0" xfId="1" applyFont="1"/>
    <xf numFmtId="0" fontId="1" fillId="6" borderId="0" xfId="0" applyFont="1" applyFill="1"/>
    <xf numFmtId="0" fontId="20" fillId="0" borderId="0" xfId="0" applyFont="1"/>
    <xf numFmtId="0" fontId="0" fillId="6" borderId="0" xfId="0" applyFill="1"/>
    <xf numFmtId="0" fontId="6" fillId="0" borderId="12" xfId="0" applyFont="1" applyBorder="1"/>
    <xf numFmtId="0" fontId="1" fillId="0" borderId="1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1" xfId="0" applyFont="1" applyBorder="1"/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3" borderId="14" xfId="0" applyFill="1" applyBorder="1"/>
    <xf numFmtId="0" fontId="0" fillId="3" borderId="1" xfId="0" applyFill="1" applyBorder="1"/>
    <xf numFmtId="0" fontId="0" fillId="3" borderId="11" xfId="0" applyFill="1" applyBorder="1"/>
    <xf numFmtId="0" fontId="0" fillId="0" borderId="15" xfId="0" applyBorder="1" applyAlignment="1">
      <alignment horizontal="center"/>
    </xf>
    <xf numFmtId="0" fontId="0" fillId="0" borderId="14" xfId="0" applyBorder="1"/>
    <xf numFmtId="0" fontId="2" fillId="0" borderId="0" xfId="0" applyFont="1" applyAlignment="1">
      <alignment horizontal="left"/>
    </xf>
    <xf numFmtId="0" fontId="7" fillId="0" borderId="11" xfId="0" applyFont="1" applyBorder="1"/>
    <xf numFmtId="0" fontId="1" fillId="0" borderId="16" xfId="0" applyFont="1" applyBorder="1" applyAlignment="1">
      <alignment horizontal="center"/>
    </xf>
    <xf numFmtId="0" fontId="2" fillId="0" borderId="11" xfId="0" applyFont="1" applyBorder="1"/>
    <xf numFmtId="0" fontId="21" fillId="0" borderId="14" xfId="0" applyFont="1" applyBorder="1" applyAlignment="1">
      <alignment horizontal="right"/>
    </xf>
    <xf numFmtId="0" fontId="0" fillId="0" borderId="11" xfId="0" applyBorder="1"/>
    <xf numFmtId="0" fontId="1" fillId="0" borderId="11" xfId="0" applyFont="1" applyBorder="1" applyAlignment="1">
      <alignment horizontal="right"/>
    </xf>
    <xf numFmtId="0" fontId="1" fillId="0" borderId="17" xfId="0" applyFont="1" applyBorder="1"/>
    <xf numFmtId="0" fontId="1" fillId="3" borderId="14" xfId="0" applyFont="1" applyFill="1" applyBorder="1"/>
    <xf numFmtId="0" fontId="1" fillId="3" borderId="11" xfId="0" applyFont="1" applyFill="1" applyBorder="1"/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8" xfId="0" applyNumberFormat="1" applyFont="1" applyBorder="1"/>
    <xf numFmtId="0" fontId="1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3" borderId="0" xfId="0" applyFont="1" applyFill="1"/>
    <xf numFmtId="0" fontId="2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0" fillId="0" borderId="15" xfId="0" applyBorder="1"/>
    <xf numFmtId="0" fontId="1" fillId="0" borderId="19" xfId="0" applyFont="1" applyBorder="1"/>
    <xf numFmtId="0" fontId="0" fillId="0" borderId="13" xfId="0" applyBorder="1"/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0" fontId="14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3" fillId="0" borderId="0" xfId="0" applyFont="1"/>
    <xf numFmtId="0" fontId="24" fillId="0" borderId="0" xfId="0" applyFont="1"/>
    <xf numFmtId="0" fontId="25" fillId="0" borderId="0" xfId="0" applyFont="1" applyAlignment="1">
      <alignment wrapText="1"/>
    </xf>
    <xf numFmtId="0" fontId="9" fillId="0" borderId="2" xfId="0" applyFont="1" applyBorder="1"/>
    <xf numFmtId="0" fontId="9" fillId="0" borderId="5" xfId="0" applyFont="1" applyBorder="1"/>
    <xf numFmtId="0" fontId="9" fillId="0" borderId="4" xfId="0" applyFont="1" applyBorder="1" applyAlignment="1">
      <alignment horizontal="left" textRotation="90"/>
    </xf>
    <xf numFmtId="0" fontId="11" fillId="0" borderId="12" xfId="0" applyFont="1" applyBorder="1" applyAlignment="1">
      <alignment textRotation="90"/>
    </xf>
    <xf numFmtId="0" fontId="9" fillId="0" borderId="4" xfId="0" applyFont="1" applyBorder="1"/>
    <xf numFmtId="0" fontId="0" fillId="0" borderId="12" xfId="0" applyBorder="1"/>
    <xf numFmtId="0" fontId="0" fillId="0" borderId="18" xfId="0" applyBorder="1"/>
    <xf numFmtId="0" fontId="0" fillId="0" borderId="23" xfId="0" applyBorder="1"/>
    <xf numFmtId="0" fontId="0" fillId="0" borderId="24" xfId="0" applyBorder="1"/>
    <xf numFmtId="0" fontId="0" fillId="0" borderId="0" xfId="0" applyAlignment="1">
      <alignment vertical="center"/>
    </xf>
    <xf numFmtId="0" fontId="2" fillId="0" borderId="23" xfId="0" applyFont="1" applyBorder="1" applyAlignment="1">
      <alignment horizontal="left"/>
    </xf>
    <xf numFmtId="0" fontId="7" fillId="0" borderId="23" xfId="0" applyFont="1" applyBorder="1"/>
    <xf numFmtId="0" fontId="2" fillId="0" borderId="23" xfId="0" applyFont="1" applyBorder="1"/>
    <xf numFmtId="0" fontId="9" fillId="0" borderId="23" xfId="0" applyFont="1" applyBorder="1" applyAlignment="1">
      <alignment horizontal="left"/>
    </xf>
    <xf numFmtId="0" fontId="2" fillId="0" borderId="0" xfId="0" applyFont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7" fillId="0" borderId="0" xfId="0" applyFont="1"/>
    <xf numFmtId="0" fontId="0" fillId="0" borderId="28" xfId="0" applyBorder="1"/>
    <xf numFmtId="0" fontId="0" fillId="0" borderId="0" xfId="0" applyAlignment="1">
      <alignment vertical="center" textRotation="90"/>
    </xf>
    <xf numFmtId="0" fontId="11" fillId="0" borderId="12" xfId="0" applyFont="1" applyBorder="1" applyAlignment="1">
      <alignment horizontal="right" vertical="center" textRotation="90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  <xf numFmtId="0" fontId="1" fillId="5" borderId="0" xfId="0" applyFont="1" applyFill="1" applyAlignment="1" applyProtection="1">
      <alignment horizontal="center"/>
      <protection locked="0"/>
    </xf>
    <xf numFmtId="0" fontId="1" fillId="6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right" textRotation="90" wrapText="1"/>
    </xf>
    <xf numFmtId="0" fontId="11" fillId="0" borderId="0" xfId="0" applyFont="1" applyAlignment="1">
      <alignment horizontal="left" textRotation="90"/>
    </xf>
    <xf numFmtId="0" fontId="11" fillId="0" borderId="0" xfId="0" applyFont="1" applyAlignment="1">
      <alignment horizontal="right" vertical="top" textRotation="90"/>
    </xf>
    <xf numFmtId="0" fontId="11" fillId="0" borderId="0" xfId="0" applyFont="1" applyAlignment="1">
      <alignment horizontal="center" textRotation="90"/>
    </xf>
    <xf numFmtId="0" fontId="11" fillId="0" borderId="0" xfId="0" applyFont="1" applyAlignment="1">
      <alignment horizontal="right" vertical="center" textRotation="90"/>
    </xf>
    <xf numFmtId="0" fontId="11" fillId="0" borderId="0" xfId="0" applyFont="1" applyAlignment="1">
      <alignment horizontal="left" vertical="center" textRotation="90"/>
    </xf>
    <xf numFmtId="0" fontId="11" fillId="0" borderId="0" xfId="0" applyFont="1" applyAlignment="1">
      <alignment horizontal="center" vertical="top" textRotation="90"/>
    </xf>
    <xf numFmtId="0" fontId="15" fillId="0" borderId="0" xfId="0" applyFont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1" fillId="0" borderId="12" xfId="0" applyFont="1" applyBorder="1" applyAlignment="1">
      <alignment horizontal="left" vertical="center" textRotation="90"/>
    </xf>
    <xf numFmtId="0" fontId="11" fillId="0" borderId="0" xfId="0" applyFont="1" applyAlignment="1">
      <alignment horizontal="right" textRotation="90"/>
    </xf>
    <xf numFmtId="0" fontId="11" fillId="0" borderId="12" xfId="0" applyFont="1" applyBorder="1" applyAlignment="1">
      <alignment horizontal="right" textRotation="90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22" fillId="0" borderId="2" xfId="0" applyFont="1" applyBorder="1" applyAlignment="1">
      <alignment horizontal="center" vertical="center" wrapText="1" shrinkToFit="1"/>
    </xf>
    <xf numFmtId="0" fontId="22" fillId="0" borderId="5" xfId="0" applyFont="1" applyBorder="1" applyAlignment="1">
      <alignment horizontal="center" vertical="center" wrapText="1" shrinkToFit="1"/>
    </xf>
    <xf numFmtId="0" fontId="22" fillId="0" borderId="6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0" xfId="0" applyFont="1" applyAlignment="1">
      <alignment horizontal="center" vertical="center" wrapText="1" shrinkToFit="1"/>
    </xf>
    <xf numFmtId="0" fontId="22" fillId="0" borderId="4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center" vertical="center" wrapText="1" shrinkToFit="1"/>
    </xf>
    <xf numFmtId="0" fontId="22" fillId="0" borderId="1" xfId="0" applyFont="1" applyBorder="1" applyAlignment="1">
      <alignment horizontal="center" vertical="center" wrapText="1" shrinkToFit="1"/>
    </xf>
    <xf numFmtId="0" fontId="22" fillId="0" borderId="17" xfId="0" applyFont="1" applyBorder="1" applyAlignment="1">
      <alignment horizontal="center" vertical="center" wrapText="1" shrinkToFit="1"/>
    </xf>
    <xf numFmtId="0" fontId="0" fillId="0" borderId="15" xfId="0" applyBorder="1" applyAlignment="1" applyProtection="1">
      <alignment vertical="center"/>
      <protection locked="0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26" fillId="0" borderId="6" xfId="0" applyFont="1" applyBorder="1" applyAlignment="1">
      <alignment horizontal="left" textRotation="90"/>
    </xf>
    <xf numFmtId="0" fontId="26" fillId="0" borderId="4" xfId="0" applyFont="1" applyBorder="1" applyAlignment="1">
      <alignment horizontal="left" textRotation="90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normální_List1" xfId="1" xr:uid="{E40AC458-4FE1-43D3-BD36-BADB88D2272A}"/>
    <cellStyle name="Standard" xfId="0" builtinId="0"/>
  </cellStyles>
  <dxfs count="1"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7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91966</xdr:colOff>
      <xdr:row>39</xdr:row>
      <xdr:rowOff>15050</xdr:rowOff>
    </xdr:from>
    <xdr:to>
      <xdr:col>6</xdr:col>
      <xdr:colOff>469448</xdr:colOff>
      <xdr:row>44</xdr:row>
      <xdr:rowOff>113949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5AC42D5-6992-477C-9C97-8A0C0E929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2541" y="9130475"/>
          <a:ext cx="3844582" cy="109902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229157</xdr:colOff>
          <xdr:row>11</xdr:row>
          <xdr:rowOff>174812</xdr:rowOff>
        </xdr:from>
        <xdr:to>
          <xdr:col>7</xdr:col>
          <xdr:colOff>358783</xdr:colOff>
          <xdr:row>34</xdr:row>
          <xdr:rowOff>147918</xdr:rowOff>
        </xdr:to>
        <xdr:pic>
          <xdr:nvPicPr>
            <xdr:cNvPr id="3" name="Obrázek 2">
              <a:extLst>
                <a:ext uri="{FF2B5EF4-FFF2-40B4-BE49-F238E27FC236}">
                  <a16:creationId xmlns:a16="http://schemas.microsoft.com/office/drawing/2014/main" id="{6E56E7B5-5E1D-42FD-A5EC-31540F63738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motor" spid="_x0000_s103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10132" y="2851337"/>
              <a:ext cx="4815926" cy="538330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 editAs="oneCell">
    <xdr:from>
      <xdr:col>11</xdr:col>
      <xdr:colOff>270164</xdr:colOff>
      <xdr:row>10</xdr:row>
      <xdr:rowOff>102262</xdr:rowOff>
    </xdr:from>
    <xdr:to>
      <xdr:col>20</xdr:col>
      <xdr:colOff>191612</xdr:colOff>
      <xdr:row>35</xdr:row>
      <xdr:rowOff>190500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132F251D-8867-4A15-BCD5-A37AB69E68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8252114" y="2531137"/>
          <a:ext cx="5122098" cy="5936588"/>
        </a:xfrm>
        <a:prstGeom prst="rect">
          <a:avLst/>
        </a:prstGeom>
      </xdr:spPr>
    </xdr:pic>
    <xdr:clientData/>
  </xdr:twoCellAnchor>
  <xdr:twoCellAnchor editAs="oneCell">
    <xdr:from>
      <xdr:col>15</xdr:col>
      <xdr:colOff>352425</xdr:colOff>
      <xdr:row>43</xdr:row>
      <xdr:rowOff>161925</xdr:rowOff>
    </xdr:from>
    <xdr:to>
      <xdr:col>16</xdr:col>
      <xdr:colOff>447675</xdr:colOff>
      <xdr:row>47</xdr:row>
      <xdr:rowOff>47625</xdr:rowOff>
    </xdr:to>
    <xdr:pic>
      <xdr:nvPicPr>
        <xdr:cNvPr id="5" name="Picture 30" descr="part7">
          <a:extLst>
            <a:ext uri="{FF2B5EF4-FFF2-40B4-BE49-F238E27FC236}">
              <a16:creationId xmlns:a16="http://schemas.microsoft.com/office/drawing/2014/main" id="{2C80DF8F-1209-4449-A65B-91C425CCC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10077450"/>
          <a:ext cx="8001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266700</xdr:colOff>
      <xdr:row>43</xdr:row>
      <xdr:rowOff>152400</xdr:rowOff>
    </xdr:from>
    <xdr:to>
      <xdr:col>22</xdr:col>
      <xdr:colOff>533400</xdr:colOff>
      <xdr:row>47</xdr:row>
      <xdr:rowOff>85725</xdr:rowOff>
    </xdr:to>
    <xdr:pic>
      <xdr:nvPicPr>
        <xdr:cNvPr id="6" name="Picture 31" descr="part8">
          <a:extLst>
            <a:ext uri="{FF2B5EF4-FFF2-40B4-BE49-F238E27FC236}">
              <a16:creationId xmlns:a16="http://schemas.microsoft.com/office/drawing/2014/main" id="{57EA9B7A-68E7-47DF-AEBE-AD2813B24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58900" y="10067925"/>
          <a:ext cx="876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476250</xdr:colOff>
      <xdr:row>62</xdr:row>
      <xdr:rowOff>161925</xdr:rowOff>
    </xdr:from>
    <xdr:to>
      <xdr:col>20</xdr:col>
      <xdr:colOff>76200</xdr:colOff>
      <xdr:row>67</xdr:row>
      <xdr:rowOff>180975</xdr:rowOff>
    </xdr:to>
    <xdr:pic>
      <xdr:nvPicPr>
        <xdr:cNvPr id="7" name="Obrázek 1">
          <a:extLst>
            <a:ext uri="{FF2B5EF4-FFF2-40B4-BE49-F238E27FC236}">
              <a16:creationId xmlns:a16="http://schemas.microsoft.com/office/drawing/2014/main" id="{ED08EF5E-4157-4DC8-9EEC-538C4379B4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333" b="16666"/>
        <a:stretch>
          <a:fillRect/>
        </a:stretch>
      </xdr:blipFill>
      <xdr:spPr bwMode="auto">
        <a:xfrm>
          <a:off x="11830050" y="13868400"/>
          <a:ext cx="142875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685800</xdr:colOff>
      <xdr:row>39</xdr:row>
      <xdr:rowOff>133350</xdr:rowOff>
    </xdr:from>
    <xdr:to>
      <xdr:col>10</xdr:col>
      <xdr:colOff>257175</xdr:colOff>
      <xdr:row>47</xdr:row>
      <xdr:rowOff>133350</xdr:rowOff>
    </xdr:to>
    <xdr:pic>
      <xdr:nvPicPr>
        <xdr:cNvPr id="8" name="Obrázek 5">
          <a:extLst>
            <a:ext uri="{FF2B5EF4-FFF2-40B4-BE49-F238E27FC236}">
              <a16:creationId xmlns:a16="http://schemas.microsoft.com/office/drawing/2014/main" id="{F690536F-D274-411A-BDEE-4AFCC4DFD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9248775"/>
          <a:ext cx="1600200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47625</xdr:colOff>
      <xdr:row>40</xdr:row>
      <xdr:rowOff>180975</xdr:rowOff>
    </xdr:from>
    <xdr:to>
      <xdr:col>15</xdr:col>
      <xdr:colOff>114300</xdr:colOff>
      <xdr:row>47</xdr:row>
      <xdr:rowOff>76200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740254C1-27E3-4184-A957-9E4DE591E3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9496425"/>
          <a:ext cx="21240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276225</xdr:colOff>
      <xdr:row>39</xdr:row>
      <xdr:rowOff>180975</xdr:rowOff>
    </xdr:from>
    <xdr:ext cx="184731" cy="254557"/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D9711013-CFDE-4F11-A611-485A28C8B298}"/>
            </a:ext>
          </a:extLst>
        </xdr:cNvPr>
        <xdr:cNvSpPr txBox="1"/>
      </xdr:nvSpPr>
      <xdr:spPr>
        <a:xfrm>
          <a:off x="2066925" y="9296400"/>
          <a:ext cx="18473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22</xdr:col>
      <xdr:colOff>200025</xdr:colOff>
      <xdr:row>20</xdr:row>
      <xdr:rowOff>19050</xdr:rowOff>
    </xdr:from>
    <xdr:to>
      <xdr:col>23</xdr:col>
      <xdr:colOff>571500</xdr:colOff>
      <xdr:row>32</xdr:row>
      <xdr:rowOff>66675</xdr:rowOff>
    </xdr:to>
    <xdr:pic>
      <xdr:nvPicPr>
        <xdr:cNvPr id="11" name="Picture 2045">
          <a:extLst>
            <a:ext uri="{FF2B5EF4-FFF2-40B4-BE49-F238E27FC236}">
              <a16:creationId xmlns:a16="http://schemas.microsoft.com/office/drawing/2014/main" id="{D4843044-9A2E-4640-9ED5-6C2B402C6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01825" y="5133975"/>
          <a:ext cx="981075" cy="2638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19</xdr:col>
      <xdr:colOff>438151</xdr:colOff>
      <xdr:row>37</xdr:row>
      <xdr:rowOff>61231</xdr:rowOff>
    </xdr:from>
    <xdr:ext cx="1885950" cy="304800"/>
    <xdr:sp macro="" textlink="AG109">
      <xdr:nvSpPr>
        <xdr:cNvPr id="12" name="TextovéPole 11">
          <a:extLst>
            <a:ext uri="{FF2B5EF4-FFF2-40B4-BE49-F238E27FC236}">
              <a16:creationId xmlns:a16="http://schemas.microsoft.com/office/drawing/2014/main" id="{A2EC0D7E-8B7C-474B-9282-9712E2371211}"/>
            </a:ext>
          </a:extLst>
        </xdr:cNvPr>
        <xdr:cNvSpPr txBox="1"/>
      </xdr:nvSpPr>
      <xdr:spPr>
        <a:xfrm>
          <a:off x="13011151" y="8776606"/>
          <a:ext cx="1885950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7B427275-14CF-4486-8E4E-87B44022AEE2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Angebot/Bestellung:</a:t>
          </a:fld>
          <a:endParaRPr lang="cs-CZ" sz="1400" b="0"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20</xdr:col>
      <xdr:colOff>166006</xdr:colOff>
      <xdr:row>40</xdr:row>
      <xdr:rowOff>48986</xdr:rowOff>
    </xdr:from>
    <xdr:ext cx="1514475" cy="304800"/>
    <xdr:sp macro="" textlink="AG110">
      <xdr:nvSpPr>
        <xdr:cNvPr id="13" name="TextovéPole 12">
          <a:extLst>
            <a:ext uri="{FF2B5EF4-FFF2-40B4-BE49-F238E27FC236}">
              <a16:creationId xmlns:a16="http://schemas.microsoft.com/office/drawing/2014/main" id="{9F0B4C49-F76D-49D6-8DA0-66229A4A2350}"/>
            </a:ext>
          </a:extLst>
        </xdr:cNvPr>
        <xdr:cNvSpPr txBox="1"/>
      </xdr:nvSpPr>
      <xdr:spPr>
        <a:xfrm>
          <a:off x="13348606" y="9364436"/>
          <a:ext cx="1514475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r"/>
          <a:fld id="{1EE20C7B-FEAB-40AE-8AD2-6D063146E8D8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 algn="r"/>
            <a:t>Position:</a:t>
          </a:fld>
          <a:endParaRPr lang="cs-CZ" sz="1400" b="0">
            <a:latin typeface="+mn-lt"/>
            <a:cs typeface="Arial" panose="020B0604020202020204" pitchFamily="34" charset="0"/>
          </a:endParaRPr>
        </a:p>
      </xdr:txBody>
    </xdr:sp>
    <xdr:clientData/>
  </xdr:oneCellAnchor>
  <xdr:oneCellAnchor>
    <xdr:from>
      <xdr:col>4</xdr:col>
      <xdr:colOff>16808</xdr:colOff>
      <xdr:row>33</xdr:row>
      <xdr:rowOff>81803</xdr:rowOff>
    </xdr:from>
    <xdr:ext cx="1066800" cy="254557"/>
    <xdr:sp macro="" textlink="$F$56">
      <xdr:nvSpPr>
        <xdr:cNvPr id="14" name="TextovéPole 13">
          <a:extLst>
            <a:ext uri="{FF2B5EF4-FFF2-40B4-BE49-F238E27FC236}">
              <a16:creationId xmlns:a16="http://schemas.microsoft.com/office/drawing/2014/main" id="{75A7B7BF-A035-4A64-B463-7AC9E25EE768}"/>
            </a:ext>
          </a:extLst>
        </xdr:cNvPr>
        <xdr:cNvSpPr txBox="1"/>
      </xdr:nvSpPr>
      <xdr:spPr>
        <a:xfrm>
          <a:off x="2283758" y="7978028"/>
          <a:ext cx="1066800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32140CFE-E021-4672-B2C3-18E9B745034E}" type="TxLink">
            <a:rPr lang="en-US" sz="1100" b="1" i="0" u="none" strike="noStrike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W </a:t>
          </a:fld>
          <a:endParaRPr lang="cs-CZ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174753</xdr:colOff>
      <xdr:row>21</xdr:row>
      <xdr:rowOff>95252</xdr:rowOff>
    </xdr:from>
    <xdr:ext cx="254557" cy="1047750"/>
    <xdr:sp macro="" textlink="$F$57">
      <xdr:nvSpPr>
        <xdr:cNvPr id="15" name="TextovéPole 14">
          <a:extLst>
            <a:ext uri="{FF2B5EF4-FFF2-40B4-BE49-F238E27FC236}">
              <a16:creationId xmlns:a16="http://schemas.microsoft.com/office/drawing/2014/main" id="{888C22C7-9C25-4457-91DD-A0FD58859326}"/>
            </a:ext>
          </a:extLst>
        </xdr:cNvPr>
        <xdr:cNvSpPr txBox="1"/>
      </xdr:nvSpPr>
      <xdr:spPr>
        <a:xfrm rot="16200000">
          <a:off x="-40868" y="5806798"/>
          <a:ext cx="1047750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fld id="{BF5D123E-41B3-41A8-A2AC-76B5836BA236}" type="TxLink">
            <a:rPr lang="en-US" sz="1100" b="1" i="0" u="none" strike="noStrike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H </a:t>
          </a:fld>
          <a:endParaRPr lang="cs-CZ" sz="1100" b="1" i="0" u="none" strike="noStrike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182702</xdr:colOff>
      <xdr:row>16</xdr:row>
      <xdr:rowOff>85167</xdr:rowOff>
    </xdr:from>
    <xdr:ext cx="264560" cy="885825"/>
    <xdr:sp macro="" textlink="$F$60">
      <xdr:nvSpPr>
        <xdr:cNvPr id="16" name="TextovéPole 15">
          <a:extLst>
            <a:ext uri="{FF2B5EF4-FFF2-40B4-BE49-F238E27FC236}">
              <a16:creationId xmlns:a16="http://schemas.microsoft.com/office/drawing/2014/main" id="{8E01AFC0-FA2C-41FF-B03B-8A1C207F0A32}"/>
            </a:ext>
          </a:extLst>
        </xdr:cNvPr>
        <xdr:cNvSpPr txBox="1"/>
      </xdr:nvSpPr>
      <xdr:spPr>
        <a:xfrm rot="16200000">
          <a:off x="53044" y="4072450"/>
          <a:ext cx="885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fld id="{C277BF81-DACC-423A-80E3-454AA9B27FC6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F </a:t>
          </a:fld>
          <a:endParaRPr lang="cs-CZ" sz="1200" b="1" i="0" u="none" strike="noStrike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409575</xdr:colOff>
      <xdr:row>16</xdr:row>
      <xdr:rowOff>180975</xdr:rowOff>
    </xdr:from>
    <xdr:ext cx="264560" cy="762000"/>
    <xdr:sp macro="" textlink="$F$61">
      <xdr:nvSpPr>
        <xdr:cNvPr id="17" name="TextovéPole 16">
          <a:extLst>
            <a:ext uri="{FF2B5EF4-FFF2-40B4-BE49-F238E27FC236}">
              <a16:creationId xmlns:a16="http://schemas.microsoft.com/office/drawing/2014/main" id="{BD38C584-E4FE-4DAD-963B-20CB0DAA2F8C}"/>
            </a:ext>
          </a:extLst>
        </xdr:cNvPr>
        <xdr:cNvSpPr txBox="1"/>
      </xdr:nvSpPr>
      <xdr:spPr>
        <a:xfrm rot="16200000">
          <a:off x="341830" y="4106345"/>
          <a:ext cx="762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279867F1-6AF2-40FD-8E7B-E2D6ED9D2916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J</a:t>
          </a:fld>
          <a:endParaRPr lang="cs-CZ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6</xdr:col>
      <xdr:colOff>443867</xdr:colOff>
      <xdr:row>18</xdr:row>
      <xdr:rowOff>106902</xdr:rowOff>
    </xdr:from>
    <xdr:ext cx="264560" cy="472556"/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B156D051-B4F7-4D8A-B014-CC106C81E29B}"/>
            </a:ext>
          </a:extLst>
        </xdr:cNvPr>
        <xdr:cNvSpPr txBox="1"/>
      </xdr:nvSpPr>
      <xdr:spPr>
        <a:xfrm rot="16397005" flipH="1">
          <a:off x="4597544" y="4268550"/>
          <a:ext cx="47255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 b="0" i="0" u="none" strike="noStrike">
              <a:solidFill>
                <a:srgbClr val="FF0000"/>
              </a:solidFill>
              <a:latin typeface="Calibri"/>
              <a:cs typeface="Calibri"/>
            </a:rPr>
            <a:t>Z</a:t>
          </a:r>
          <a:endParaRPr lang="cs-CZ" sz="1100" b="0" i="0" u="none" strike="noStrike">
            <a:solidFill>
              <a:srgbClr val="FF0000"/>
            </a:solidFill>
            <a:latin typeface="Calibri"/>
            <a:cs typeface="Calibri"/>
          </a:endParaRPr>
        </a:p>
      </xdr:txBody>
    </xdr:sp>
    <xdr:clientData/>
  </xdr:oneCellAnchor>
  <xdr:oneCellAnchor>
    <xdr:from>
      <xdr:col>15</xdr:col>
      <xdr:colOff>476250</xdr:colOff>
      <xdr:row>10</xdr:row>
      <xdr:rowOff>0</xdr:rowOff>
    </xdr:from>
    <xdr:ext cx="809625" cy="254557"/>
    <xdr:sp macro="" textlink="$F$64">
      <xdr:nvSpPr>
        <xdr:cNvPr id="19" name="TextovéPole 18">
          <a:extLst>
            <a:ext uri="{FF2B5EF4-FFF2-40B4-BE49-F238E27FC236}">
              <a16:creationId xmlns:a16="http://schemas.microsoft.com/office/drawing/2014/main" id="{61AF87FE-64C9-4285-8394-0D72B08FD06D}"/>
            </a:ext>
          </a:extLst>
        </xdr:cNvPr>
        <xdr:cNvSpPr txBox="1"/>
      </xdr:nvSpPr>
      <xdr:spPr>
        <a:xfrm>
          <a:off x="10515600" y="2428875"/>
          <a:ext cx="809625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9F1932EC-20E5-4920-8676-63C645FAE376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D</a:t>
          </a:fld>
          <a:endParaRPr lang="cs-CZ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476250</xdr:colOff>
      <xdr:row>11</xdr:row>
      <xdr:rowOff>57150</xdr:rowOff>
    </xdr:from>
    <xdr:ext cx="809625" cy="264560"/>
    <xdr:sp macro="" textlink="$F$65">
      <xdr:nvSpPr>
        <xdr:cNvPr id="20" name="TextovéPole 19">
          <a:extLst>
            <a:ext uri="{FF2B5EF4-FFF2-40B4-BE49-F238E27FC236}">
              <a16:creationId xmlns:a16="http://schemas.microsoft.com/office/drawing/2014/main" id="{3227CFFE-2CBD-4D71-A046-3BE5FD173B37}"/>
            </a:ext>
          </a:extLst>
        </xdr:cNvPr>
        <xdr:cNvSpPr txBox="1"/>
      </xdr:nvSpPr>
      <xdr:spPr>
        <a:xfrm>
          <a:off x="10515600" y="2733675"/>
          <a:ext cx="8096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B33CEF49-AD2E-411A-9E0A-A23A4D9D142D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X</a:t>
          </a:fld>
          <a:endParaRPr lang="cs-CZ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342900</xdr:colOff>
      <xdr:row>12</xdr:row>
      <xdr:rowOff>85725</xdr:rowOff>
    </xdr:from>
    <xdr:ext cx="809625" cy="264560"/>
    <xdr:sp macro="" textlink="$F$66">
      <xdr:nvSpPr>
        <xdr:cNvPr id="21" name="TextovéPole 20">
          <a:extLst>
            <a:ext uri="{FF2B5EF4-FFF2-40B4-BE49-F238E27FC236}">
              <a16:creationId xmlns:a16="http://schemas.microsoft.com/office/drawing/2014/main" id="{B5EBCF7B-290E-49E1-A003-E2909FE9BEC4}"/>
            </a:ext>
          </a:extLst>
        </xdr:cNvPr>
        <xdr:cNvSpPr txBox="1"/>
      </xdr:nvSpPr>
      <xdr:spPr>
        <a:xfrm>
          <a:off x="11087100" y="3000375"/>
          <a:ext cx="8096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F01FE4E3-0F76-4A3C-B068-C3FD08688027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Y</a:t>
          </a:fld>
          <a:endParaRPr lang="cs-CZ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19</xdr:col>
      <xdr:colOff>160224</xdr:colOff>
      <xdr:row>17</xdr:row>
      <xdr:rowOff>133349</xdr:rowOff>
    </xdr:from>
    <xdr:ext cx="264560" cy="1047750"/>
    <xdr:sp macro="" textlink="$F$58">
      <xdr:nvSpPr>
        <xdr:cNvPr id="22" name="TextovéPole 21">
          <a:extLst>
            <a:ext uri="{FF2B5EF4-FFF2-40B4-BE49-F238E27FC236}">
              <a16:creationId xmlns:a16="http://schemas.microsoft.com/office/drawing/2014/main" id="{99292310-33BB-47BC-BE2D-19198DC41D69}"/>
            </a:ext>
          </a:extLst>
        </xdr:cNvPr>
        <xdr:cNvSpPr txBox="1"/>
      </xdr:nvSpPr>
      <xdr:spPr>
        <a:xfrm rot="16200000">
          <a:off x="12341629" y="4392094"/>
          <a:ext cx="1047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fld id="{DEF1475B-2CF9-4254-89AA-CD833F050566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HL </a:t>
          </a:fld>
          <a:endParaRPr lang="cs-CZ" sz="1200" b="1" i="0" u="none" strike="noStrike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20</xdr:col>
      <xdr:colOff>104775</xdr:colOff>
      <xdr:row>21</xdr:row>
      <xdr:rowOff>19050</xdr:rowOff>
    </xdr:from>
    <xdr:ext cx="264560" cy="1047750"/>
    <xdr:sp macro="" textlink="$F$59">
      <xdr:nvSpPr>
        <xdr:cNvPr id="23" name="TextovéPole 22">
          <a:extLst>
            <a:ext uri="{FF2B5EF4-FFF2-40B4-BE49-F238E27FC236}">
              <a16:creationId xmlns:a16="http://schemas.microsoft.com/office/drawing/2014/main" id="{84213ADF-5183-472D-ACC8-D2EEC4F5535C}"/>
            </a:ext>
          </a:extLst>
        </xdr:cNvPr>
        <xdr:cNvSpPr txBox="1"/>
      </xdr:nvSpPr>
      <xdr:spPr>
        <a:xfrm rot="16200000">
          <a:off x="12895780" y="5725595"/>
          <a:ext cx="1047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fld id="{656CA48A-BC0E-4107-8DC6-1C92EE72BFEE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E</a:t>
          </a:fld>
          <a:endParaRPr lang="cs-CZ" sz="1200" b="1" i="0" u="none" strike="noStrike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19</xdr:col>
      <xdr:colOff>193803</xdr:colOff>
      <xdr:row>26</xdr:row>
      <xdr:rowOff>123826</xdr:rowOff>
    </xdr:from>
    <xdr:ext cx="254557" cy="1047750"/>
    <xdr:sp macro="" textlink="$F$57">
      <xdr:nvSpPr>
        <xdr:cNvPr id="24" name="TextovéPole 23">
          <a:extLst>
            <a:ext uri="{FF2B5EF4-FFF2-40B4-BE49-F238E27FC236}">
              <a16:creationId xmlns:a16="http://schemas.microsoft.com/office/drawing/2014/main" id="{944E44E0-4E7E-4DD0-904E-6E6A2CBA255B}"/>
            </a:ext>
          </a:extLst>
        </xdr:cNvPr>
        <xdr:cNvSpPr txBox="1"/>
      </xdr:nvSpPr>
      <xdr:spPr>
        <a:xfrm rot="16200000">
          <a:off x="12370207" y="6835497"/>
          <a:ext cx="1047750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indent="0"/>
          <a:fld id="{BF5D123E-41B3-41A8-A2AC-76B5836BA236}" type="TxLink">
            <a:rPr lang="en-US" sz="1100" b="1" i="0" u="none" strike="noStrike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pPr marL="0" indent="0"/>
            <a:t>H </a:t>
          </a:fld>
          <a:endParaRPr lang="cs-CZ" sz="1100" b="1" i="0" u="none" strike="noStrike">
            <a:solidFill>
              <a:schemeClr val="tx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398369</xdr:colOff>
      <xdr:row>12</xdr:row>
      <xdr:rowOff>145675</xdr:rowOff>
    </xdr:from>
    <xdr:ext cx="435908" cy="291353"/>
    <xdr:sp macro="" textlink="Obrázky!Z19">
      <xdr:nvSpPr>
        <xdr:cNvPr id="25" name="TextovéPole 24">
          <a:extLst>
            <a:ext uri="{FF2B5EF4-FFF2-40B4-BE49-F238E27FC236}">
              <a16:creationId xmlns:a16="http://schemas.microsoft.com/office/drawing/2014/main" id="{A5B86132-C7D8-498F-B954-2056D683601E}"/>
            </a:ext>
          </a:extLst>
        </xdr:cNvPr>
        <xdr:cNvSpPr txBox="1"/>
      </xdr:nvSpPr>
      <xdr:spPr>
        <a:xfrm>
          <a:off x="1188944" y="3060325"/>
          <a:ext cx="435908" cy="2913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930BE1FF-37D2-4814-82C5-AFEE96497300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280</a:t>
          </a:fld>
          <a:endParaRPr lang="cs-CZ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228600</xdr:colOff>
      <xdr:row>11</xdr:row>
      <xdr:rowOff>95250</xdr:rowOff>
    </xdr:from>
    <xdr:ext cx="914400" cy="243728"/>
    <xdr:sp macro="" textlink="Obrázky!Z16">
      <xdr:nvSpPr>
        <xdr:cNvPr id="26" name="TextovéPole 25">
          <a:extLst>
            <a:ext uri="{FF2B5EF4-FFF2-40B4-BE49-F238E27FC236}">
              <a16:creationId xmlns:a16="http://schemas.microsoft.com/office/drawing/2014/main" id="{CBB76D61-00CC-440D-8915-3C7E61B97041}"/>
            </a:ext>
          </a:extLst>
        </xdr:cNvPr>
        <xdr:cNvSpPr txBox="1"/>
      </xdr:nvSpPr>
      <xdr:spPr>
        <a:xfrm>
          <a:off x="1019175" y="2771775"/>
          <a:ext cx="914400" cy="2437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2EFBC583-F35C-4C08-B0FA-3A429E47C3D8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cs-CZ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5</xdr:col>
      <xdr:colOff>390524</xdr:colOff>
      <xdr:row>11</xdr:row>
      <xdr:rowOff>76200</xdr:rowOff>
    </xdr:from>
    <xdr:ext cx="723901" cy="243728"/>
    <xdr:sp macro="" textlink="Obrázky!Z17">
      <xdr:nvSpPr>
        <xdr:cNvPr id="27" name="TextovéPole 26">
          <a:extLst>
            <a:ext uri="{FF2B5EF4-FFF2-40B4-BE49-F238E27FC236}">
              <a16:creationId xmlns:a16="http://schemas.microsoft.com/office/drawing/2014/main" id="{163E7030-15CA-4A7F-9955-852C94FF77DD}"/>
            </a:ext>
          </a:extLst>
        </xdr:cNvPr>
        <xdr:cNvSpPr txBox="1"/>
      </xdr:nvSpPr>
      <xdr:spPr>
        <a:xfrm>
          <a:off x="3914774" y="2752725"/>
          <a:ext cx="723901" cy="2437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D8939278-64D1-4681-9A3B-6BD8245C30F4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 </a:t>
          </a:fld>
          <a:endParaRPr lang="cs-CZ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3</xdr:col>
      <xdr:colOff>383720</xdr:colOff>
      <xdr:row>43</xdr:row>
      <xdr:rowOff>172811</xdr:rowOff>
    </xdr:from>
    <xdr:ext cx="1381125" cy="243728"/>
    <xdr:sp macro="" textlink="Obrázky!Z13">
      <xdr:nvSpPr>
        <xdr:cNvPr id="28" name="TextovéPole 27">
          <a:extLst>
            <a:ext uri="{FF2B5EF4-FFF2-40B4-BE49-F238E27FC236}">
              <a16:creationId xmlns:a16="http://schemas.microsoft.com/office/drawing/2014/main" id="{19135F67-D1D6-4DCD-A7FE-A992ED56BCC3}"/>
            </a:ext>
          </a:extLst>
        </xdr:cNvPr>
        <xdr:cNvSpPr txBox="1"/>
      </xdr:nvSpPr>
      <xdr:spPr>
        <a:xfrm>
          <a:off x="2174420" y="10088336"/>
          <a:ext cx="1381125" cy="2437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fld id="{E8824337-6CD6-4079-A36E-776B295CBC3F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L + W + R </a:t>
          </a:fld>
          <a:endParaRPr lang="cs-CZ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4</xdr:col>
      <xdr:colOff>917120</xdr:colOff>
      <xdr:row>19</xdr:row>
      <xdr:rowOff>545647</xdr:rowOff>
    </xdr:from>
    <xdr:ext cx="476251" cy="243728"/>
    <xdr:sp macro="" textlink="">
      <xdr:nvSpPr>
        <xdr:cNvPr id="29" name="TextovéPole 28">
          <a:extLst>
            <a:ext uri="{FF2B5EF4-FFF2-40B4-BE49-F238E27FC236}">
              <a16:creationId xmlns:a16="http://schemas.microsoft.com/office/drawing/2014/main" id="{08B6DF43-2F58-4FCB-B02B-AE2BD4486556}"/>
            </a:ext>
          </a:extLst>
        </xdr:cNvPr>
        <xdr:cNvSpPr txBox="1"/>
      </xdr:nvSpPr>
      <xdr:spPr>
        <a:xfrm>
          <a:off x="3184070" y="4974772"/>
          <a:ext cx="476251" cy="2437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300</a:t>
          </a:r>
          <a:endParaRPr lang="en-US" sz="1100" b="1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5</xdr:col>
      <xdr:colOff>471688</xdr:colOff>
      <xdr:row>12</xdr:row>
      <xdr:rowOff>126066</xdr:rowOff>
    </xdr:from>
    <xdr:ext cx="435908" cy="243728"/>
    <xdr:sp macro="" textlink="Obrázky!Z19">
      <xdr:nvSpPr>
        <xdr:cNvPr id="30" name="TextovéPole 29">
          <a:extLst>
            <a:ext uri="{FF2B5EF4-FFF2-40B4-BE49-F238E27FC236}">
              <a16:creationId xmlns:a16="http://schemas.microsoft.com/office/drawing/2014/main" id="{6497EBBA-5FDC-4C0C-8E9B-A6B5D6592E33}"/>
            </a:ext>
          </a:extLst>
        </xdr:cNvPr>
        <xdr:cNvSpPr txBox="1"/>
      </xdr:nvSpPr>
      <xdr:spPr>
        <a:xfrm>
          <a:off x="3995938" y="3040716"/>
          <a:ext cx="435908" cy="2437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930BE1FF-37D2-4814-82C5-AFEE96497300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280</a:t>
          </a:fld>
          <a:endParaRPr lang="cs-CZ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9004</xdr:colOff>
      <xdr:row>40</xdr:row>
      <xdr:rowOff>75360</xdr:rowOff>
    </xdr:from>
    <xdr:ext cx="243728" cy="435908"/>
    <xdr:sp macro="" textlink="Obrázky!Z20">
      <xdr:nvSpPr>
        <xdr:cNvPr id="31" name="TextovéPole 30">
          <a:extLst>
            <a:ext uri="{FF2B5EF4-FFF2-40B4-BE49-F238E27FC236}">
              <a16:creationId xmlns:a16="http://schemas.microsoft.com/office/drawing/2014/main" id="{6F6B9B55-46DB-44BB-886C-B31FE5A6FBB8}"/>
            </a:ext>
          </a:extLst>
        </xdr:cNvPr>
        <xdr:cNvSpPr txBox="1"/>
      </xdr:nvSpPr>
      <xdr:spPr>
        <a:xfrm rot="16200000">
          <a:off x="703489" y="9486900"/>
          <a:ext cx="435908" cy="2437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0F7DE18D-9C36-44CC-9B5B-D0A62CC0C489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250</a:t>
          </a:fld>
          <a:endParaRPr lang="cs-CZ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513510</xdr:colOff>
      <xdr:row>34</xdr:row>
      <xdr:rowOff>19890</xdr:rowOff>
    </xdr:from>
    <xdr:ext cx="435908" cy="243728"/>
    <xdr:sp macro="" textlink="Obrázky!Z20">
      <xdr:nvSpPr>
        <xdr:cNvPr id="32" name="TextovéPole 31">
          <a:extLst>
            <a:ext uri="{FF2B5EF4-FFF2-40B4-BE49-F238E27FC236}">
              <a16:creationId xmlns:a16="http://schemas.microsoft.com/office/drawing/2014/main" id="{E2B757B4-F957-4AE7-B672-597B0B9E1848}"/>
            </a:ext>
          </a:extLst>
        </xdr:cNvPr>
        <xdr:cNvSpPr txBox="1"/>
      </xdr:nvSpPr>
      <xdr:spPr>
        <a:xfrm>
          <a:off x="11257710" y="8106615"/>
          <a:ext cx="435908" cy="2437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fld id="{0F7DE18D-9C36-44CC-9B5B-D0A62CC0C489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250</a:t>
          </a:fld>
          <a:endParaRPr lang="cs-CZ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123825</xdr:rowOff>
    </xdr:from>
    <xdr:to>
      <xdr:col>8</xdr:col>
      <xdr:colOff>85725</xdr:colOff>
      <xdr:row>29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790675-B49A-4514-8D8A-C4FDFCEDD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504825"/>
          <a:ext cx="4391025" cy="510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29</xdr:row>
      <xdr:rowOff>161925</xdr:rowOff>
    </xdr:from>
    <xdr:to>
      <xdr:col>6</xdr:col>
      <xdr:colOff>76200</xdr:colOff>
      <xdr:row>37</xdr:row>
      <xdr:rowOff>38100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D6258E3B-7011-487A-BA9A-E2E404D718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686425"/>
          <a:ext cx="24860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390525</xdr:colOff>
      <xdr:row>5</xdr:row>
      <xdr:rowOff>133350</xdr:rowOff>
    </xdr:from>
    <xdr:ext cx="264560" cy="762000"/>
    <xdr:sp macro="" textlink="general!$F$61">
      <xdr:nvSpPr>
        <xdr:cNvPr id="4" name="TextovéPole 3">
          <a:extLst>
            <a:ext uri="{FF2B5EF4-FFF2-40B4-BE49-F238E27FC236}">
              <a16:creationId xmlns:a16="http://schemas.microsoft.com/office/drawing/2014/main" id="{90B8CFC3-4D62-4A39-9D24-B0139CCEC6CA}"/>
            </a:ext>
          </a:extLst>
        </xdr:cNvPr>
        <xdr:cNvSpPr txBox="1"/>
      </xdr:nvSpPr>
      <xdr:spPr>
        <a:xfrm rot="16200000">
          <a:off x="141805" y="1334570"/>
          <a:ext cx="762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0913EF43-A160-4E82-8F29-24C0AFAD5FDA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J</a:t>
          </a:fld>
          <a:endParaRPr lang="cs-CZ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381000</xdr:colOff>
      <xdr:row>17</xdr:row>
      <xdr:rowOff>9525</xdr:rowOff>
    </xdr:from>
    <xdr:ext cx="264560" cy="762000"/>
    <xdr:sp macro="" textlink="general!$F$57">
      <xdr:nvSpPr>
        <xdr:cNvPr id="5" name="TextovéPole 4">
          <a:extLst>
            <a:ext uri="{FF2B5EF4-FFF2-40B4-BE49-F238E27FC236}">
              <a16:creationId xmlns:a16="http://schemas.microsoft.com/office/drawing/2014/main" id="{52BF6593-19D8-4B93-9FB0-FE0C753C7CA7}"/>
            </a:ext>
          </a:extLst>
        </xdr:cNvPr>
        <xdr:cNvSpPr txBox="1"/>
      </xdr:nvSpPr>
      <xdr:spPr>
        <a:xfrm rot="16200000">
          <a:off x="132280" y="3496745"/>
          <a:ext cx="762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90A1437E-2D11-43FB-8E20-E7595912E5E0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H </a:t>
          </a:fld>
          <a:endParaRPr lang="cs-CZ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3</xdr:col>
      <xdr:colOff>466725</xdr:colOff>
      <xdr:row>27</xdr:row>
      <xdr:rowOff>123825</xdr:rowOff>
    </xdr:from>
    <xdr:ext cx="1066800" cy="264560"/>
    <xdr:sp macro="" textlink="general!$F$56">
      <xdr:nvSpPr>
        <xdr:cNvPr id="6" name="TextovéPole 5">
          <a:extLst>
            <a:ext uri="{FF2B5EF4-FFF2-40B4-BE49-F238E27FC236}">
              <a16:creationId xmlns:a16="http://schemas.microsoft.com/office/drawing/2014/main" id="{962DD986-991B-4C58-B4D7-317EF67BA5A2}"/>
            </a:ext>
          </a:extLst>
        </xdr:cNvPr>
        <xdr:cNvSpPr txBox="1"/>
      </xdr:nvSpPr>
      <xdr:spPr>
        <a:xfrm>
          <a:off x="2295525" y="5267325"/>
          <a:ext cx="1066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CD00F6EB-3626-4063-B31D-A4A23106D052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W </a:t>
          </a:fld>
          <a:endParaRPr lang="cs-CZ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47625</xdr:colOff>
      <xdr:row>6</xdr:row>
      <xdr:rowOff>47625</xdr:rowOff>
    </xdr:from>
    <xdr:ext cx="264560" cy="762000"/>
    <xdr:sp macro="" textlink="general!$I$18">
      <xdr:nvSpPr>
        <xdr:cNvPr id="7" name="TextovéPole 6">
          <a:extLst>
            <a:ext uri="{FF2B5EF4-FFF2-40B4-BE49-F238E27FC236}">
              <a16:creationId xmlns:a16="http://schemas.microsoft.com/office/drawing/2014/main" id="{DF10C4A4-5322-4416-8AA8-DCAACF9C6255}"/>
            </a:ext>
          </a:extLst>
        </xdr:cNvPr>
        <xdr:cNvSpPr txBox="1"/>
      </xdr:nvSpPr>
      <xdr:spPr>
        <a:xfrm rot="16200000">
          <a:off x="4675705" y="1439345"/>
          <a:ext cx="762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7DFA9C12-C3C6-462E-9989-6182962F1F2D}" type="TxLink">
            <a:rPr lang="en-US" sz="1100" b="0" i="0" u="none" strike="noStrike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Z =  NICHT ERFORDELICH</a:t>
          </a:fld>
          <a:endParaRPr lang="cs-CZ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123825</xdr:rowOff>
    </xdr:from>
    <xdr:to>
      <xdr:col>8</xdr:col>
      <xdr:colOff>85725</xdr:colOff>
      <xdr:row>29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CC1FBA-0226-46BF-ABC1-FBEFBA3E3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504825"/>
          <a:ext cx="4391025" cy="510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29</xdr:row>
      <xdr:rowOff>161925</xdr:rowOff>
    </xdr:from>
    <xdr:to>
      <xdr:col>6</xdr:col>
      <xdr:colOff>76200</xdr:colOff>
      <xdr:row>37</xdr:row>
      <xdr:rowOff>38100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F1036CE4-8098-4CBF-98F0-0CB67A869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686425"/>
          <a:ext cx="24860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400050</xdr:colOff>
      <xdr:row>27</xdr:row>
      <xdr:rowOff>152400</xdr:rowOff>
    </xdr:from>
    <xdr:ext cx="1066800" cy="264560"/>
    <xdr:sp macro="" textlink="general!$F$56">
      <xdr:nvSpPr>
        <xdr:cNvPr id="4" name="TextovéPole 3">
          <a:extLst>
            <a:ext uri="{FF2B5EF4-FFF2-40B4-BE49-F238E27FC236}">
              <a16:creationId xmlns:a16="http://schemas.microsoft.com/office/drawing/2014/main" id="{3BE14F9A-3334-48A7-BFE9-FC2E56521CCE}"/>
            </a:ext>
          </a:extLst>
        </xdr:cNvPr>
        <xdr:cNvSpPr txBox="1"/>
      </xdr:nvSpPr>
      <xdr:spPr>
        <a:xfrm>
          <a:off x="2228850" y="5295900"/>
          <a:ext cx="1066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CD00F6EB-3626-4063-B31D-A4A23106D052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W </a:t>
          </a:fld>
          <a:endParaRPr lang="cs-CZ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390525</xdr:colOff>
      <xdr:row>17</xdr:row>
      <xdr:rowOff>0</xdr:rowOff>
    </xdr:from>
    <xdr:ext cx="264560" cy="762000"/>
    <xdr:sp macro="" textlink="general!$F$57">
      <xdr:nvSpPr>
        <xdr:cNvPr id="5" name="TextovéPole 4">
          <a:extLst>
            <a:ext uri="{FF2B5EF4-FFF2-40B4-BE49-F238E27FC236}">
              <a16:creationId xmlns:a16="http://schemas.microsoft.com/office/drawing/2014/main" id="{A5082101-5AE7-437E-B14F-1068537D0124}"/>
            </a:ext>
          </a:extLst>
        </xdr:cNvPr>
        <xdr:cNvSpPr txBox="1"/>
      </xdr:nvSpPr>
      <xdr:spPr>
        <a:xfrm rot="16200000">
          <a:off x="141805" y="3487220"/>
          <a:ext cx="762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90A1437E-2D11-43FB-8E20-E7595912E5E0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H </a:t>
          </a:fld>
          <a:endParaRPr lang="cs-CZ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381000</xdr:colOff>
      <xdr:row>5</xdr:row>
      <xdr:rowOff>104775</xdr:rowOff>
    </xdr:from>
    <xdr:ext cx="264560" cy="762000"/>
    <xdr:sp macro="" textlink="general!$F$61">
      <xdr:nvSpPr>
        <xdr:cNvPr id="6" name="TextovéPole 5">
          <a:extLst>
            <a:ext uri="{FF2B5EF4-FFF2-40B4-BE49-F238E27FC236}">
              <a16:creationId xmlns:a16="http://schemas.microsoft.com/office/drawing/2014/main" id="{F61DD3E0-CBD3-4543-8DC7-50E4A29EDDF6}"/>
            </a:ext>
          </a:extLst>
        </xdr:cNvPr>
        <xdr:cNvSpPr txBox="1"/>
      </xdr:nvSpPr>
      <xdr:spPr>
        <a:xfrm rot="16200000">
          <a:off x="132280" y="1305995"/>
          <a:ext cx="762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0913EF43-A160-4E82-8F29-24C0AFAD5FDA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J</a:t>
          </a:fld>
          <a:endParaRPr lang="cs-CZ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28575</xdr:colOff>
      <xdr:row>5</xdr:row>
      <xdr:rowOff>142875</xdr:rowOff>
    </xdr:from>
    <xdr:ext cx="264560" cy="762000"/>
    <xdr:sp macro="" textlink="general!$I$18">
      <xdr:nvSpPr>
        <xdr:cNvPr id="7" name="TextovéPole 6">
          <a:extLst>
            <a:ext uri="{FF2B5EF4-FFF2-40B4-BE49-F238E27FC236}">
              <a16:creationId xmlns:a16="http://schemas.microsoft.com/office/drawing/2014/main" id="{DD4878A6-3DFF-4AF3-BADA-97E1B569252D}"/>
            </a:ext>
          </a:extLst>
        </xdr:cNvPr>
        <xdr:cNvSpPr txBox="1"/>
      </xdr:nvSpPr>
      <xdr:spPr>
        <a:xfrm rot="16200000">
          <a:off x="4656655" y="1344095"/>
          <a:ext cx="762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7DFA9C12-C3C6-462E-9989-6182962F1F2D}" type="TxLink">
            <a:rPr lang="en-US" sz="1100" b="0" i="0" u="none" strike="noStrike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Z =  NICHT ERFORDELICH</a:t>
          </a:fld>
          <a:endParaRPr lang="cs-CZ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357581</xdr:colOff>
      <xdr:row>1</xdr:row>
      <xdr:rowOff>152399</xdr:rowOff>
    </xdr:from>
    <xdr:to>
      <xdr:col>8</xdr:col>
      <xdr:colOff>85725</xdr:colOff>
      <xdr:row>28</xdr:row>
      <xdr:rowOff>19050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7C4AF67-C2D5-4D69-862F-A181CC0A42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74" t="26799" r="21078" b="23390"/>
        <a:stretch/>
      </xdr:blipFill>
      <xdr:spPr>
        <a:xfrm>
          <a:off x="357581" y="342899"/>
          <a:ext cx="4604944" cy="5010151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29</xdr:row>
      <xdr:rowOff>161925</xdr:rowOff>
    </xdr:from>
    <xdr:to>
      <xdr:col>6</xdr:col>
      <xdr:colOff>76200</xdr:colOff>
      <xdr:row>37</xdr:row>
      <xdr:rowOff>38100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6D2678FB-055D-47F6-BF60-605A57719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5686425"/>
          <a:ext cx="248602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400050</xdr:colOff>
      <xdr:row>27</xdr:row>
      <xdr:rowOff>152400</xdr:rowOff>
    </xdr:from>
    <xdr:ext cx="1066800" cy="264560"/>
    <xdr:sp macro="" textlink="general!$F$56">
      <xdr:nvSpPr>
        <xdr:cNvPr id="4" name="TextovéPole 3">
          <a:extLst>
            <a:ext uri="{FF2B5EF4-FFF2-40B4-BE49-F238E27FC236}">
              <a16:creationId xmlns:a16="http://schemas.microsoft.com/office/drawing/2014/main" id="{AF0C9F60-506E-45F9-B552-73B7C739348F}"/>
            </a:ext>
          </a:extLst>
        </xdr:cNvPr>
        <xdr:cNvSpPr txBox="1"/>
      </xdr:nvSpPr>
      <xdr:spPr>
        <a:xfrm>
          <a:off x="2228850" y="5295900"/>
          <a:ext cx="10668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fld id="{CD00F6EB-3626-4063-B31D-A4A23106D052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 algn="ctr"/>
            <a:t>W </a:t>
          </a:fld>
          <a:endParaRPr lang="cs-CZ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438150</xdr:colOff>
      <xdr:row>17</xdr:row>
      <xdr:rowOff>9525</xdr:rowOff>
    </xdr:from>
    <xdr:ext cx="264560" cy="762000"/>
    <xdr:sp macro="" textlink="general!$F$57">
      <xdr:nvSpPr>
        <xdr:cNvPr id="5" name="TextovéPole 4">
          <a:extLst>
            <a:ext uri="{FF2B5EF4-FFF2-40B4-BE49-F238E27FC236}">
              <a16:creationId xmlns:a16="http://schemas.microsoft.com/office/drawing/2014/main" id="{CB984E9B-C5CB-4070-B9F7-E074FC77BA77}"/>
            </a:ext>
          </a:extLst>
        </xdr:cNvPr>
        <xdr:cNvSpPr txBox="1"/>
      </xdr:nvSpPr>
      <xdr:spPr>
        <a:xfrm rot="16200000">
          <a:off x="189430" y="3496745"/>
          <a:ext cx="762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90A1437E-2D11-43FB-8E20-E7595912E5E0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H </a:t>
          </a:fld>
          <a:endParaRPr lang="cs-CZ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504825</xdr:colOff>
      <xdr:row>6</xdr:row>
      <xdr:rowOff>57150</xdr:rowOff>
    </xdr:from>
    <xdr:ext cx="264560" cy="762000"/>
    <xdr:sp macro="" textlink="general!$F$61">
      <xdr:nvSpPr>
        <xdr:cNvPr id="6" name="TextovéPole 5">
          <a:extLst>
            <a:ext uri="{FF2B5EF4-FFF2-40B4-BE49-F238E27FC236}">
              <a16:creationId xmlns:a16="http://schemas.microsoft.com/office/drawing/2014/main" id="{31C1CB38-EDE6-4563-93F3-87B546FEF385}"/>
            </a:ext>
          </a:extLst>
        </xdr:cNvPr>
        <xdr:cNvSpPr txBox="1"/>
      </xdr:nvSpPr>
      <xdr:spPr>
        <a:xfrm rot="16200000">
          <a:off x="256105" y="1448870"/>
          <a:ext cx="762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0913EF43-A160-4E82-8F29-24C0AFAD5FDA}" type="TxLink">
            <a:rPr lang="en-US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J</a:t>
          </a:fld>
          <a:endParaRPr lang="cs-CZ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7</xdr:col>
      <xdr:colOff>257175</xdr:colOff>
      <xdr:row>7</xdr:row>
      <xdr:rowOff>114300</xdr:rowOff>
    </xdr:from>
    <xdr:ext cx="264560" cy="762000"/>
    <xdr:sp macro="" textlink="general!$I$18">
      <xdr:nvSpPr>
        <xdr:cNvPr id="7" name="TextovéPole 6">
          <a:extLst>
            <a:ext uri="{FF2B5EF4-FFF2-40B4-BE49-F238E27FC236}">
              <a16:creationId xmlns:a16="http://schemas.microsoft.com/office/drawing/2014/main" id="{5ABCFCA3-7B4D-4C57-8C27-F458E9055294}"/>
            </a:ext>
          </a:extLst>
        </xdr:cNvPr>
        <xdr:cNvSpPr txBox="1"/>
      </xdr:nvSpPr>
      <xdr:spPr>
        <a:xfrm rot="16200000">
          <a:off x="4275655" y="1696520"/>
          <a:ext cx="762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fld id="{7DFA9C12-C3C6-462E-9989-6182962F1F2D}" type="TxLink">
            <a:rPr lang="en-US" sz="1100" b="1" i="0" u="none" strike="noStrike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pPr/>
            <a:t>Z =  NICHT ERFORDELICH</a:t>
          </a:fld>
          <a:endParaRPr lang="cs-CZ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5</xdr:col>
      <xdr:colOff>47625</xdr:colOff>
      <xdr:row>12</xdr:row>
      <xdr:rowOff>66675</xdr:rowOff>
    </xdr:from>
    <xdr:ext cx="476251" cy="243728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89D063AB-0482-41F7-9CA8-77C475CD839A}"/>
            </a:ext>
          </a:extLst>
        </xdr:cNvPr>
        <xdr:cNvSpPr txBox="1"/>
      </xdr:nvSpPr>
      <xdr:spPr>
        <a:xfrm>
          <a:off x="3095625" y="2352675"/>
          <a:ext cx="476251" cy="2437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100" b="1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300</a:t>
          </a:r>
          <a:endParaRPr lang="en-US" sz="1100" b="1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52554</xdr:colOff>
      <xdr:row>15</xdr:row>
      <xdr:rowOff>91965</xdr:rowOff>
    </xdr:from>
    <xdr:to>
      <xdr:col>20</xdr:col>
      <xdr:colOff>269329</xdr:colOff>
      <xdr:row>41</xdr:row>
      <xdr:rowOff>151086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549B821-B469-42D1-9DA1-7CA866C0AA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07" t="26856" r="21266" b="23229"/>
        <a:stretch/>
      </xdr:blipFill>
      <xdr:spPr>
        <a:xfrm>
          <a:off x="7977354" y="2949465"/>
          <a:ext cx="4598275" cy="5021646"/>
        </a:xfrm>
        <a:prstGeom prst="rect">
          <a:avLst/>
        </a:prstGeom>
      </xdr:spPr>
    </xdr:pic>
    <xdr:clientData/>
  </xdr:twoCellAnchor>
  <xdr:twoCellAnchor editAs="oneCell">
    <xdr:from>
      <xdr:col>12</xdr:col>
      <xdr:colOff>430710</xdr:colOff>
      <xdr:row>46</xdr:row>
      <xdr:rowOff>11824</xdr:rowOff>
    </xdr:from>
    <xdr:to>
      <xdr:col>20</xdr:col>
      <xdr:colOff>12540</xdr:colOff>
      <xdr:row>72</xdr:row>
      <xdr:rowOff>64375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5E9D9C3-501D-45F0-A2CC-B743E4A02B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24" t="26777" r="21239" b="23459"/>
        <a:stretch/>
      </xdr:blipFill>
      <xdr:spPr>
        <a:xfrm>
          <a:off x="7745910" y="8784349"/>
          <a:ext cx="4572930" cy="5005551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19</xdr:row>
      <xdr:rowOff>0</xdr:rowOff>
    </xdr:from>
    <xdr:to>
      <xdr:col>11</xdr:col>
      <xdr:colOff>0</xdr:colOff>
      <xdr:row>43</xdr:row>
      <xdr:rowOff>78562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6FDA090D-D00D-4231-895E-C8295F5A14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07" t="26856" r="21266" b="23229"/>
        <a:stretch/>
      </xdr:blipFill>
      <xdr:spPr>
        <a:xfrm>
          <a:off x="2438401" y="3619500"/>
          <a:ext cx="4267199" cy="4660087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10</xdr:col>
      <xdr:colOff>600075</xdr:colOff>
      <xdr:row>70</xdr:row>
      <xdr:rowOff>88471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2523AFA6-EAAD-4F1C-A1AE-A73B2FD943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24" t="26777" r="21239" b="23459"/>
        <a:stretch/>
      </xdr:blipFill>
      <xdr:spPr>
        <a:xfrm>
          <a:off x="2438400" y="8772525"/>
          <a:ext cx="4257675" cy="4660471"/>
        </a:xfrm>
        <a:prstGeom prst="rect">
          <a:avLst/>
        </a:prstGeom>
      </xdr:spPr>
    </xdr:pic>
    <xdr:clientData/>
  </xdr:twoCellAnchor>
  <xdr:twoCellAnchor editAs="oneCell">
    <xdr:from>
      <xdr:col>13</xdr:col>
      <xdr:colOff>165726</xdr:colOff>
      <xdr:row>74</xdr:row>
      <xdr:rowOff>166995</xdr:rowOff>
    </xdr:from>
    <xdr:to>
      <xdr:col>20</xdr:col>
      <xdr:colOff>370916</xdr:colOff>
      <xdr:row>101</xdr:row>
      <xdr:rowOff>32252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ED29424B-36C0-4977-A5F0-BB295C26C7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35" t="26837" r="21201" b="23365"/>
        <a:stretch/>
      </xdr:blipFill>
      <xdr:spPr>
        <a:xfrm>
          <a:off x="8090526" y="14273520"/>
          <a:ext cx="4586690" cy="5008757"/>
        </a:xfrm>
        <a:prstGeom prst="rect">
          <a:avLst/>
        </a:prstGeom>
      </xdr:spPr>
    </xdr:pic>
    <xdr:clientData/>
  </xdr:twoCellAnchor>
  <xdr:twoCellAnchor editAs="oneCell">
    <xdr:from>
      <xdr:col>3</xdr:col>
      <xdr:colOff>593912</xdr:colOff>
      <xdr:row>72</xdr:row>
      <xdr:rowOff>178203</xdr:rowOff>
    </xdr:from>
    <xdr:to>
      <xdr:col>11</xdr:col>
      <xdr:colOff>22413</xdr:colOff>
      <xdr:row>97</xdr:row>
      <xdr:rowOff>100911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124CC3BE-FBE8-4945-97F8-9C7FDDE4F4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835" t="26837" r="21201" b="23365"/>
        <a:stretch/>
      </xdr:blipFill>
      <xdr:spPr>
        <a:xfrm>
          <a:off x="2422712" y="13903728"/>
          <a:ext cx="4305301" cy="4685208"/>
        </a:xfrm>
        <a:prstGeom prst="rect">
          <a:avLst/>
        </a:prstGeom>
      </xdr:spPr>
    </xdr:pic>
    <xdr:clientData/>
  </xdr:twoCellAnchor>
  <xdr:twoCellAnchor editAs="oneCell">
    <xdr:from>
      <xdr:col>14</xdr:col>
      <xdr:colOff>201707</xdr:colOff>
      <xdr:row>104</xdr:row>
      <xdr:rowOff>134470</xdr:rowOff>
    </xdr:from>
    <xdr:to>
      <xdr:col>21</xdr:col>
      <xdr:colOff>302559</xdr:colOff>
      <xdr:row>131</xdr:row>
      <xdr:rowOff>1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236834D3-EC07-4381-A16D-1C0F41B4ED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52" t="26739" r="21280" b="23462"/>
        <a:stretch/>
      </xdr:blipFill>
      <xdr:spPr>
        <a:xfrm>
          <a:off x="8736107" y="19955995"/>
          <a:ext cx="4606177" cy="5009031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100</xdr:row>
      <xdr:rowOff>1</xdr:rowOff>
    </xdr:from>
    <xdr:to>
      <xdr:col>11</xdr:col>
      <xdr:colOff>0</xdr:colOff>
      <xdr:row>124</xdr:row>
      <xdr:rowOff>57375</xdr:rowOff>
    </xdr:to>
    <xdr:pic>
      <xdr:nvPicPr>
        <xdr:cNvPr id="9" name="Obrázek 8">
          <a:extLst>
            <a:ext uri="{FF2B5EF4-FFF2-40B4-BE49-F238E27FC236}">
              <a16:creationId xmlns:a16="http://schemas.microsoft.com/office/drawing/2014/main" id="{DBA277DF-4DE2-4A05-BDC9-58E4EEADCB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52" t="26739" r="21280" b="23462"/>
        <a:stretch/>
      </xdr:blipFill>
      <xdr:spPr>
        <a:xfrm>
          <a:off x="2438400" y="19059526"/>
          <a:ext cx="4267200" cy="4629374"/>
        </a:xfrm>
        <a:prstGeom prst="rect">
          <a:avLst/>
        </a:prstGeom>
      </xdr:spPr>
    </xdr:pic>
    <xdr:clientData/>
  </xdr:twoCellAnchor>
  <xdr:twoCellAnchor editAs="oneCell">
    <xdr:from>
      <xdr:col>15</xdr:col>
      <xdr:colOff>526170</xdr:colOff>
      <xdr:row>131</xdr:row>
      <xdr:rowOff>134471</xdr:rowOff>
    </xdr:from>
    <xdr:to>
      <xdr:col>22</xdr:col>
      <xdr:colOff>11206</xdr:colOff>
      <xdr:row>158</xdr:row>
      <xdr:rowOff>11207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99680F22-D206-43D9-A129-1A4D644631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02" t="26738" r="21136" b="23352"/>
        <a:stretch/>
      </xdr:blipFill>
      <xdr:spPr>
        <a:xfrm>
          <a:off x="9670170" y="25099496"/>
          <a:ext cx="4619011" cy="5020236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127</xdr:row>
      <xdr:rowOff>0</xdr:rowOff>
    </xdr:from>
    <xdr:to>
      <xdr:col>11</xdr:col>
      <xdr:colOff>11206</xdr:colOff>
      <xdr:row>151</xdr:row>
      <xdr:rowOff>56857</xdr:rowOff>
    </xdr:to>
    <xdr:pic>
      <xdr:nvPicPr>
        <xdr:cNvPr id="11" name="Obrázek 10">
          <a:extLst>
            <a:ext uri="{FF2B5EF4-FFF2-40B4-BE49-F238E27FC236}">
              <a16:creationId xmlns:a16="http://schemas.microsoft.com/office/drawing/2014/main" id="{2F3F1729-4EAC-430F-A5D3-53F41CAB45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602" t="26738" r="21136" b="23352"/>
        <a:stretch/>
      </xdr:blipFill>
      <xdr:spPr>
        <a:xfrm>
          <a:off x="2438400" y="24203025"/>
          <a:ext cx="4278406" cy="4628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B5A1E-8829-4AE5-AE0A-72D43E4D91C2}">
  <sheetPr codeName="List1"/>
  <dimension ref="A1:BW561"/>
  <sheetViews>
    <sheetView showGridLines="0" tabSelected="1" view="pageBreakPreview" topLeftCell="B1" zoomScaleNormal="100" zoomScaleSheetLayoutView="100" workbookViewId="0">
      <selection activeCell="E5" sqref="E5"/>
    </sheetView>
  </sheetViews>
  <sheetFormatPr baseColWidth="10" defaultColWidth="9.140625" defaultRowHeight="15"/>
  <cols>
    <col min="1" max="1" width="2.7109375" customWidth="1"/>
    <col min="3" max="3" width="15" customWidth="1"/>
    <col min="4" max="4" width="7.140625" customWidth="1"/>
    <col min="5" max="5" width="18.85546875" customWidth="1"/>
    <col min="6" max="6" width="11" customWidth="1"/>
    <col min="9" max="9" width="8.28515625" bestFit="1" customWidth="1"/>
    <col min="10" max="10" width="20.140625" customWidth="1"/>
    <col min="13" max="13" width="3.42578125" customWidth="1"/>
    <col min="16" max="16" width="10.5703125" customWidth="1"/>
    <col min="26" max="26" width="11.85546875" bestFit="1" customWidth="1"/>
    <col min="27" max="27" width="11.7109375" customWidth="1"/>
    <col min="28" max="28" width="9.140625" customWidth="1"/>
    <col min="29" max="29" width="2.140625" customWidth="1"/>
    <col min="30" max="31" width="9.140625" hidden="1" customWidth="1"/>
    <col min="32" max="32" width="8.42578125" hidden="1" customWidth="1"/>
    <col min="33" max="33" width="15.5703125" hidden="1" customWidth="1"/>
    <col min="34" max="34" width="95.42578125" hidden="1" customWidth="1"/>
    <col min="35" max="35" width="91.85546875" hidden="1" customWidth="1"/>
    <col min="36" max="36" width="81.42578125" hidden="1" customWidth="1"/>
    <col min="37" max="37" width="76.5703125" hidden="1" customWidth="1"/>
    <col min="38" max="38" width="49.7109375" hidden="1" customWidth="1"/>
    <col min="39" max="39" width="55.42578125" hidden="1" customWidth="1"/>
    <col min="40" max="50" width="9.140625" hidden="1" customWidth="1"/>
    <col min="51" max="73" width="9.140625" customWidth="1"/>
  </cols>
  <sheetData>
    <row r="1" spans="1:47" ht="15.7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W1" s="1"/>
      <c r="X1" s="1"/>
      <c r="Y1" s="1"/>
      <c r="Z1" s="1"/>
      <c r="AA1" s="1"/>
      <c r="AB1" s="1"/>
      <c r="AD1" s="2" t="s">
        <v>0</v>
      </c>
      <c r="AE1" s="3">
        <f>VLOOKUP(E5,AD3:AE11,2,FALSE)</f>
        <v>3</v>
      </c>
      <c r="AF1" s="4"/>
      <c r="AG1" t="s">
        <v>1</v>
      </c>
      <c r="AH1" s="4" t="s">
        <v>2</v>
      </c>
      <c r="AI1" s="4" t="s">
        <v>3</v>
      </c>
      <c r="AJ1" s="4" t="s">
        <v>4</v>
      </c>
      <c r="AK1" s="4" t="s">
        <v>5</v>
      </c>
      <c r="AL1" s="4" t="s">
        <v>6</v>
      </c>
      <c r="AM1" s="4" t="s">
        <v>7</v>
      </c>
      <c r="AN1" s="4" t="s">
        <v>8</v>
      </c>
      <c r="AO1" s="4" t="s">
        <v>9</v>
      </c>
      <c r="AP1" s="4" t="s">
        <v>10</v>
      </c>
      <c r="AU1" s="4" t="str">
        <f>$AG$100</f>
        <v>hand</v>
      </c>
    </row>
    <row r="2" spans="1:47" ht="15.7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7"/>
      <c r="P2" s="7"/>
      <c r="Q2" s="117" t="str">
        <f>VLOOKUP(AG12,AG2:AR94,$AE$1+1,FALSE)</f>
        <v>HÖHERGEFÜHRTER BESCHLAG (HL-1T)</v>
      </c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8"/>
      <c r="AD2" s="8" t="s">
        <v>11</v>
      </c>
      <c r="AE2" s="9" t="s">
        <v>12</v>
      </c>
      <c r="AF2" s="10"/>
      <c r="AG2" t="str">
        <f>VLOOKUP(AH2,AH2:AR94,$AE$1,FALSE)</f>
        <v>Wählen Sie eine Sprache</v>
      </c>
      <c r="AH2" t="s">
        <v>13</v>
      </c>
      <c r="AI2" t="s">
        <v>14</v>
      </c>
      <c r="AJ2" t="s">
        <v>15</v>
      </c>
      <c r="AK2" t="s">
        <v>16</v>
      </c>
      <c r="AL2" t="s">
        <v>17</v>
      </c>
      <c r="AM2" t="s">
        <v>18</v>
      </c>
      <c r="AN2" t="s">
        <v>19</v>
      </c>
      <c r="AO2" t="s">
        <v>20</v>
      </c>
      <c r="AP2" t="s">
        <v>21</v>
      </c>
      <c r="AU2" t="str">
        <f>$AG$106</f>
        <v>Antrieb - rechts</v>
      </c>
    </row>
    <row r="3" spans="1:47" ht="19.5" customHeight="1" thickBot="1">
      <c r="A3" s="5"/>
      <c r="B3" s="11" t="s">
        <v>22</v>
      </c>
      <c r="C3" s="11"/>
      <c r="D3" s="6"/>
      <c r="E3" s="6"/>
      <c r="F3" s="6"/>
      <c r="G3" s="6"/>
      <c r="H3" s="12" t="str">
        <f>VLOOKUP(AG3,AG2:AR94,$AE$1+1,FALSE)</f>
        <v>Lichte Breite</v>
      </c>
      <c r="I3" s="12"/>
      <c r="J3" s="6"/>
      <c r="K3" s="13"/>
      <c r="L3" t="s">
        <v>23</v>
      </c>
      <c r="M3" s="6"/>
      <c r="N3" s="6"/>
      <c r="O3" s="6"/>
      <c r="P3" s="6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20"/>
      <c r="AD3" s="14" t="s">
        <v>2</v>
      </c>
      <c r="AE3" s="15">
        <v>1</v>
      </c>
      <c r="AF3" s="4"/>
      <c r="AG3" t="str">
        <f>VLOOKUP(AH3,AH3:AR94,$AE$1,FALSE)</f>
        <v>Lichte Breite</v>
      </c>
      <c r="AH3" t="s">
        <v>24</v>
      </c>
      <c r="AI3" t="s">
        <v>25</v>
      </c>
      <c r="AJ3" t="s">
        <v>26</v>
      </c>
      <c r="AK3" t="s">
        <v>27</v>
      </c>
      <c r="AL3" t="s">
        <v>28</v>
      </c>
      <c r="AM3" t="s">
        <v>29</v>
      </c>
      <c r="AN3" t="s">
        <v>30</v>
      </c>
      <c r="AO3" t="s">
        <v>31</v>
      </c>
      <c r="AP3" t="s">
        <v>32</v>
      </c>
      <c r="AU3" t="str">
        <f>$AG$105</f>
        <v>Antrieb - links</v>
      </c>
    </row>
    <row r="4" spans="1:47" ht="19.5" thickBot="1">
      <c r="A4" s="5"/>
      <c r="B4" s="11" t="s">
        <v>14</v>
      </c>
      <c r="C4" s="11"/>
      <c r="D4" s="6"/>
      <c r="E4" s="6"/>
      <c r="F4" s="6"/>
      <c r="G4" s="6"/>
      <c r="H4" s="12"/>
      <c r="I4" s="12"/>
      <c r="J4" s="1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17" t="str">
        <f>VLOOKUP(AG16,AG2:AR94,$AE$1+1,FALSE)</f>
        <v>Max. W x H 4000x4000</v>
      </c>
      <c r="Y4" s="17"/>
      <c r="Z4" s="17"/>
      <c r="AA4" s="6"/>
      <c r="AB4" s="18"/>
      <c r="AD4" s="14" t="s">
        <v>3</v>
      </c>
      <c r="AE4" s="15">
        <v>2</v>
      </c>
      <c r="AF4" s="4"/>
      <c r="AG4" t="str">
        <f>VLOOKUP(AH4,AH4:AR95,$AE$1,FALSE)</f>
        <v>Lichte Höhe</v>
      </c>
      <c r="AH4" t="s">
        <v>33</v>
      </c>
      <c r="AI4" t="s">
        <v>34</v>
      </c>
      <c r="AJ4" t="s">
        <v>35</v>
      </c>
      <c r="AK4" t="s">
        <v>36</v>
      </c>
      <c r="AL4" t="s">
        <v>37</v>
      </c>
      <c r="AM4" t="s">
        <v>38</v>
      </c>
      <c r="AN4" t="s">
        <v>39</v>
      </c>
      <c r="AO4" t="s">
        <v>40</v>
      </c>
      <c r="AP4" t="s">
        <v>41</v>
      </c>
      <c r="AU4" t="str">
        <f>$AG$103</f>
        <v>Haspelkette - rechts</v>
      </c>
    </row>
    <row r="5" spans="1:47" ht="19.5" customHeight="1" thickBot="1">
      <c r="A5" s="5"/>
      <c r="B5" s="19" t="s">
        <v>42</v>
      </c>
      <c r="C5" s="11"/>
      <c r="D5" s="6"/>
      <c r="E5" s="13" t="s">
        <v>4</v>
      </c>
      <c r="F5" s="6"/>
      <c r="G5" s="6"/>
      <c r="H5" s="12" t="str">
        <f>VLOOKUP(AG4,AG2:AR94,$AE$1+1,FALSE)</f>
        <v>Lichte Höhe</v>
      </c>
      <c r="I5" s="12"/>
      <c r="J5" s="6"/>
      <c r="K5" s="20"/>
      <c r="L5" t="s">
        <v>23</v>
      </c>
      <c r="M5" s="6"/>
      <c r="N5" s="6"/>
      <c r="O5" s="21" t="str">
        <f>VLOOKUP(AH97,AH97:AR174,$AE$1,FALSE)</f>
        <v>Fülen Sie bitte markierte Felder!</v>
      </c>
      <c r="P5" s="6"/>
      <c r="Q5" s="6"/>
      <c r="R5" s="6"/>
      <c r="S5" s="6"/>
      <c r="T5" s="6"/>
      <c r="U5" s="6"/>
      <c r="V5" s="6"/>
      <c r="W5" s="6"/>
      <c r="X5" s="17" t="str">
        <f>VLOOKUP(AG13,AG2:AR94,$AE$1+1,FALSE)</f>
        <v>Federn oberhalb des Sturzes</v>
      </c>
      <c r="Y5" s="17"/>
      <c r="Z5" s="17"/>
      <c r="AA5" s="6"/>
      <c r="AB5" s="18"/>
      <c r="AD5" s="14" t="s">
        <v>4</v>
      </c>
      <c r="AE5" s="15">
        <v>3</v>
      </c>
      <c r="AF5" s="4"/>
      <c r="AG5" t="str">
        <f>VLOOKUP(AH5,AH5:AR94,$AE$1,FALSE)</f>
        <v>INNENANSICHT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AU5" t="str">
        <f>$AG$102</f>
        <v>Haspelkette - links</v>
      </c>
    </row>
    <row r="6" spans="1:47" ht="23.25" customHeight="1" thickBot="1">
      <c r="A6" s="5"/>
      <c r="B6" s="19" t="s">
        <v>52</v>
      </c>
      <c r="C6" s="11"/>
      <c r="D6" s="6"/>
      <c r="E6" s="6"/>
      <c r="F6" s="6"/>
      <c r="G6" s="6"/>
      <c r="H6" s="6"/>
      <c r="I6" s="6"/>
      <c r="J6" s="1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17" t="str">
        <f>VLOOKUP(AG14,AG3:AR94,$AE$1+1,FALSE)</f>
        <v>fur HL&gt;600 und HL&lt;=1200</v>
      </c>
      <c r="Y6" s="17"/>
      <c r="Z6" s="17"/>
      <c r="AA6" s="6"/>
      <c r="AB6" s="18"/>
      <c r="AD6" s="14" t="s">
        <v>5</v>
      </c>
      <c r="AE6" s="15">
        <v>4</v>
      </c>
      <c r="AF6" s="4"/>
      <c r="AG6" t="str">
        <f>VLOOKUP(AH6,AH6:AR98,$AE$1,FALSE)</f>
        <v>DURCHSCHNITT A-A</v>
      </c>
      <c r="AH6" t="s">
        <v>53</v>
      </c>
      <c r="AI6" t="s">
        <v>54</v>
      </c>
      <c r="AJ6" t="s">
        <v>55</v>
      </c>
      <c r="AK6" t="s">
        <v>56</v>
      </c>
      <c r="AL6" t="s">
        <v>57</v>
      </c>
      <c r="AM6" t="s">
        <v>58</v>
      </c>
      <c r="AN6" t="s">
        <v>59</v>
      </c>
      <c r="AO6" t="s">
        <v>60</v>
      </c>
      <c r="AP6" t="s">
        <v>61</v>
      </c>
    </row>
    <row r="7" spans="1:47" ht="19.5" thickBot="1">
      <c r="A7" s="5"/>
      <c r="B7" s="19" t="s">
        <v>62</v>
      </c>
      <c r="C7" s="19"/>
      <c r="D7" s="6"/>
      <c r="E7" s="6"/>
      <c r="F7" s="6"/>
      <c r="G7" s="6"/>
      <c r="H7" s="12" t="str">
        <f>VLOOKUP(AG79,AG6:AR97,$AE$1+1,FALSE)</f>
        <v>Freiraum über Sturz</v>
      </c>
      <c r="I7" s="6"/>
      <c r="J7" s="16"/>
      <c r="K7" s="20"/>
      <c r="L7" s="22" t="s">
        <v>23</v>
      </c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17" t="str">
        <f>VLOOKUP(AG15,AG2:AR94,$AE$1+1,FALSE)</f>
        <v>Paneel 40 mm</v>
      </c>
      <c r="Y7" s="17"/>
      <c r="Z7" s="17"/>
      <c r="AA7" s="6"/>
      <c r="AB7" s="18"/>
      <c r="AD7" s="14" t="s">
        <v>6</v>
      </c>
      <c r="AE7" s="23">
        <v>5</v>
      </c>
      <c r="AF7" s="4"/>
      <c r="AG7" t="str">
        <f>VLOOKUP(AH7,AH7:AR98,$AE$1,FALSE)</f>
        <v>DURCHSCHNITT B-B</v>
      </c>
      <c r="AH7" t="s">
        <v>63</v>
      </c>
      <c r="AI7" t="s">
        <v>64</v>
      </c>
      <c r="AJ7" t="s">
        <v>65</v>
      </c>
      <c r="AK7" t="s">
        <v>66</v>
      </c>
      <c r="AL7" t="s">
        <v>67</v>
      </c>
      <c r="AM7" t="s">
        <v>68</v>
      </c>
      <c r="AN7" t="s">
        <v>69</v>
      </c>
      <c r="AO7" t="s">
        <v>70</v>
      </c>
      <c r="AP7" t="s">
        <v>71</v>
      </c>
    </row>
    <row r="8" spans="1:47" ht="19.5" thickBot="1">
      <c r="A8" s="5"/>
      <c r="B8" s="19" t="s">
        <v>19</v>
      </c>
      <c r="C8" s="19"/>
      <c r="D8" s="21"/>
      <c r="E8" s="21"/>
      <c r="F8" s="21"/>
      <c r="G8" s="22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Y8" s="17"/>
      <c r="Z8" s="17"/>
      <c r="AA8" s="6"/>
      <c r="AB8" s="18"/>
      <c r="AD8" s="14" t="s">
        <v>7</v>
      </c>
      <c r="AE8" s="23">
        <v>6</v>
      </c>
      <c r="AG8" t="str">
        <f t="shared" ref="AG8:AG16" si="0">VLOOKUP(AH8,AH8:AR99,$AE$1,FALSE)</f>
        <v>ACHTUNG:</v>
      </c>
      <c r="AH8" t="s">
        <v>72</v>
      </c>
      <c r="AI8" t="s">
        <v>73</v>
      </c>
      <c r="AJ8" t="s">
        <v>74</v>
      </c>
      <c r="AK8" t="s">
        <v>75</v>
      </c>
      <c r="AL8" t="s">
        <v>76</v>
      </c>
      <c r="AM8" t="s">
        <v>77</v>
      </c>
      <c r="AN8" t="s">
        <v>78</v>
      </c>
      <c r="AO8" t="s">
        <v>79</v>
      </c>
      <c r="AP8" t="s">
        <v>80</v>
      </c>
    </row>
    <row r="9" spans="1:47" ht="19.5" thickBot="1">
      <c r="A9" s="5"/>
      <c r="B9" s="19" t="s">
        <v>20</v>
      </c>
      <c r="C9" s="19"/>
      <c r="D9" s="6"/>
      <c r="E9" s="6"/>
      <c r="F9" s="6"/>
      <c r="G9" s="6"/>
      <c r="H9" s="12" t="str">
        <f>VLOOKUP(AG99,AG8:AR99,$AE$1+1,FALSE)</f>
        <v>Bedienung</v>
      </c>
      <c r="I9" s="6"/>
      <c r="J9" s="6"/>
      <c r="K9" s="121"/>
      <c r="L9" s="121"/>
      <c r="M9" s="121"/>
      <c r="N9" s="121"/>
      <c r="O9" s="12"/>
      <c r="P9" s="12"/>
      <c r="Q9" s="6"/>
      <c r="R9" s="122"/>
      <c r="S9" s="122"/>
      <c r="T9" s="24"/>
      <c r="U9" s="6"/>
      <c r="V9" s="6"/>
      <c r="W9" s="6"/>
      <c r="X9" s="6"/>
      <c r="Y9" s="6"/>
      <c r="Z9" s="6"/>
      <c r="AA9" s="6"/>
      <c r="AB9" s="18"/>
      <c r="AD9" s="14" t="s">
        <v>8</v>
      </c>
      <c r="AE9" s="23">
        <v>7</v>
      </c>
    </row>
    <row r="10" spans="1:47" ht="19.5" thickBot="1">
      <c r="A10" s="5"/>
      <c r="B10" s="19" t="s">
        <v>21</v>
      </c>
      <c r="C10" s="19"/>
      <c r="D10" s="6"/>
      <c r="E10" s="6"/>
      <c r="F10" s="6"/>
      <c r="G10" s="6"/>
      <c r="H10" s="12"/>
      <c r="I10" s="6"/>
      <c r="J10" s="6"/>
      <c r="K10" s="16"/>
      <c r="L10" s="16"/>
      <c r="M10" s="16"/>
      <c r="N10" s="6"/>
      <c r="O10" s="12"/>
      <c r="P10" s="12"/>
      <c r="Q10" s="6"/>
      <c r="R10" s="6"/>
      <c r="S10" s="16"/>
      <c r="T10" s="24"/>
      <c r="U10" s="6"/>
      <c r="V10" s="6"/>
      <c r="W10" s="6"/>
      <c r="X10" s="6"/>
      <c r="Y10" s="6"/>
      <c r="Z10" s="6"/>
      <c r="AA10" s="6"/>
      <c r="AB10" s="18"/>
      <c r="AD10" s="14" t="s">
        <v>9</v>
      </c>
      <c r="AE10" s="23">
        <v>8</v>
      </c>
    </row>
    <row r="11" spans="1:47" ht="19.5" thickBot="1">
      <c r="B11" s="25"/>
      <c r="C11" s="26"/>
      <c r="D11" s="123"/>
      <c r="E11" s="123"/>
      <c r="F11" s="123"/>
      <c r="G11" s="26"/>
      <c r="H11" s="27" t="str">
        <f>AG111</f>
        <v>Paneel-Typ</v>
      </c>
      <c r="I11" s="6"/>
      <c r="J11" s="6"/>
      <c r="K11" s="20"/>
      <c r="L11" s="6"/>
      <c r="M11" s="16"/>
      <c r="N11" s="6"/>
      <c r="O11" s="28"/>
      <c r="P11" s="29"/>
      <c r="Q11" s="30"/>
      <c r="R11" s="31"/>
      <c r="S11" s="31"/>
      <c r="T11" s="32"/>
      <c r="U11" s="26"/>
      <c r="V11" s="6"/>
      <c r="W11" s="6"/>
      <c r="X11" s="6"/>
      <c r="Y11" s="6"/>
      <c r="Z11" s="6"/>
      <c r="AA11" s="6"/>
      <c r="AB11" s="18"/>
      <c r="AD11" s="14" t="s">
        <v>10</v>
      </c>
      <c r="AE11" s="23">
        <v>9</v>
      </c>
    </row>
    <row r="12" spans="1:47" ht="18.75">
      <c r="B12" s="124"/>
      <c r="C12" s="125"/>
      <c r="D12" s="125"/>
      <c r="E12" s="26"/>
      <c r="F12" s="29"/>
      <c r="G12" s="126"/>
      <c r="H12" s="126"/>
      <c r="I12" s="6"/>
      <c r="J12" s="6"/>
      <c r="K12" s="6"/>
      <c r="L12" s="6"/>
      <c r="M12" s="6"/>
      <c r="N12" s="6"/>
      <c r="O12" s="6"/>
      <c r="P12" s="126"/>
      <c r="Q12" s="126"/>
      <c r="R12" s="126"/>
      <c r="S12" s="26"/>
      <c r="T12" s="34" t="str">
        <f>VLOOKUP(AG6,AG2:AR94,$AE$1+1,FALSE)</f>
        <v>DURCHSCHNITT A-A</v>
      </c>
      <c r="U12" s="35"/>
      <c r="V12" s="6"/>
      <c r="W12" s="6"/>
      <c r="X12" s="6"/>
      <c r="Y12" s="6"/>
      <c r="Z12" s="6"/>
      <c r="AA12" s="6"/>
      <c r="AB12" s="18"/>
      <c r="AG12" t="str">
        <f t="shared" si="0"/>
        <v>HÖHERGEFÜHRTER BESCHLAG (HL-1T)</v>
      </c>
      <c r="AH12" t="s">
        <v>81</v>
      </c>
      <c r="AI12" t="s">
        <v>82</v>
      </c>
      <c r="AJ12" t="s">
        <v>83</v>
      </c>
      <c r="AK12" t="s">
        <v>84</v>
      </c>
      <c r="AL12" t="s">
        <v>85</v>
      </c>
      <c r="AM12" t="s">
        <v>86</v>
      </c>
      <c r="AN12" t="s">
        <v>87</v>
      </c>
      <c r="AO12" t="s">
        <v>88</v>
      </c>
      <c r="AP12" t="s">
        <v>89</v>
      </c>
    </row>
    <row r="13" spans="1:47">
      <c r="B13" s="25"/>
      <c r="C13" s="127"/>
      <c r="D13" s="26"/>
      <c r="E13" s="26"/>
      <c r="F13" s="26"/>
      <c r="G13" s="26"/>
      <c r="H13" s="128"/>
      <c r="I13" s="6"/>
      <c r="J13" s="6"/>
      <c r="K13" s="6"/>
      <c r="L13" s="6"/>
      <c r="M13" s="6"/>
      <c r="N13" s="6"/>
      <c r="O13" s="6"/>
      <c r="P13" s="26"/>
      <c r="Q13" s="127"/>
      <c r="R13" s="127"/>
      <c r="S13" s="26"/>
      <c r="T13" s="26"/>
      <c r="U13" s="26"/>
      <c r="V13" s="6"/>
      <c r="W13" s="6"/>
      <c r="X13" s="6"/>
      <c r="Y13" s="6"/>
      <c r="Z13" s="6"/>
      <c r="AA13" s="6"/>
      <c r="AB13" s="18"/>
      <c r="AG13" t="str">
        <f t="shared" si="0"/>
        <v>Federn oberhalb des Sturzes</v>
      </c>
      <c r="AH13" t="s">
        <v>90</v>
      </c>
      <c r="AI13" t="s">
        <v>91</v>
      </c>
      <c r="AJ13" t="s">
        <v>92</v>
      </c>
      <c r="AK13" t="s">
        <v>93</v>
      </c>
      <c r="AL13" t="s">
        <v>94</v>
      </c>
      <c r="AM13" t="s">
        <v>95</v>
      </c>
      <c r="AN13" t="s">
        <v>96</v>
      </c>
      <c r="AO13" t="s">
        <v>97</v>
      </c>
      <c r="AP13" t="s">
        <v>98</v>
      </c>
    </row>
    <row r="14" spans="1:47">
      <c r="B14" s="25"/>
      <c r="C14" s="127"/>
      <c r="D14" s="26"/>
      <c r="E14" s="26"/>
      <c r="F14" s="26"/>
      <c r="G14" s="26"/>
      <c r="H14" s="128"/>
      <c r="I14" s="6"/>
      <c r="J14" s="6"/>
      <c r="K14" s="6"/>
      <c r="L14" s="6"/>
      <c r="M14" s="6"/>
      <c r="N14" s="6"/>
      <c r="O14" s="6"/>
      <c r="P14" s="26"/>
      <c r="Q14" s="127"/>
      <c r="R14" s="127"/>
      <c r="S14" s="26"/>
      <c r="T14" s="26"/>
      <c r="U14" s="26"/>
      <c r="V14" s="6"/>
      <c r="W14" s="6"/>
      <c r="X14" s="6"/>
      <c r="Y14" s="6"/>
      <c r="Z14" s="6"/>
      <c r="AA14" s="6"/>
      <c r="AB14" s="18"/>
      <c r="AG14" t="str">
        <f t="shared" si="0"/>
        <v>fur HL&gt;600 und HL&lt;=1200</v>
      </c>
      <c r="AH14" t="s">
        <v>99</v>
      </c>
      <c r="AI14" t="s">
        <v>100</v>
      </c>
      <c r="AJ14" t="s">
        <v>101</v>
      </c>
      <c r="AK14" t="s">
        <v>102</v>
      </c>
      <c r="AL14" t="s">
        <v>103</v>
      </c>
      <c r="AM14" t="s">
        <v>104</v>
      </c>
      <c r="AN14" t="s">
        <v>105</v>
      </c>
      <c r="AO14" t="s">
        <v>106</v>
      </c>
      <c r="AP14" t="s">
        <v>107</v>
      </c>
    </row>
    <row r="15" spans="1:47" ht="15" customHeight="1">
      <c r="B15" s="25"/>
      <c r="C15" s="129"/>
      <c r="D15" s="26"/>
      <c r="E15" s="26"/>
      <c r="F15" s="26"/>
      <c r="G15" s="26"/>
      <c r="H15" s="128"/>
      <c r="I15" s="36"/>
      <c r="J15" s="6"/>
      <c r="K15" s="6"/>
      <c r="L15" s="6"/>
      <c r="M15" s="6"/>
      <c r="N15" s="6"/>
      <c r="O15" s="6"/>
      <c r="P15" s="26"/>
      <c r="Q15" s="26"/>
      <c r="R15" s="26"/>
      <c r="S15" s="130"/>
      <c r="T15" s="26"/>
      <c r="U15" s="26"/>
      <c r="V15" s="6"/>
      <c r="W15" s="6"/>
      <c r="X15" s="6"/>
      <c r="Y15" s="6"/>
      <c r="Z15" s="6"/>
      <c r="AA15" s="6"/>
      <c r="AB15" s="18"/>
      <c r="AG15" t="str">
        <f t="shared" si="0"/>
        <v>Paneel 40 mm</v>
      </c>
      <c r="AH15" t="s">
        <v>108</v>
      </c>
      <c r="AI15" t="s">
        <v>109</v>
      </c>
      <c r="AJ15" t="s">
        <v>110</v>
      </c>
      <c r="AK15" t="s">
        <v>111</v>
      </c>
      <c r="AL15" t="s">
        <v>112</v>
      </c>
      <c r="AM15" t="s">
        <v>113</v>
      </c>
      <c r="AN15" t="s">
        <v>110</v>
      </c>
      <c r="AO15" t="s">
        <v>114</v>
      </c>
      <c r="AP15" t="s">
        <v>115</v>
      </c>
    </row>
    <row r="16" spans="1:47" ht="15" customHeight="1">
      <c r="B16" s="25"/>
      <c r="C16" s="129"/>
      <c r="D16" s="26"/>
      <c r="E16" s="26"/>
      <c r="F16" s="26"/>
      <c r="G16" s="26"/>
      <c r="H16" s="128"/>
      <c r="I16" s="36"/>
      <c r="J16" s="6"/>
      <c r="K16" s="6"/>
      <c r="L16" s="6"/>
      <c r="M16" s="6"/>
      <c r="N16" s="6"/>
      <c r="O16" s="6"/>
      <c r="P16" s="26"/>
      <c r="Q16" s="26"/>
      <c r="R16" s="26"/>
      <c r="S16" s="130"/>
      <c r="T16" s="26"/>
      <c r="U16" s="26"/>
      <c r="V16" s="6"/>
      <c r="W16" s="6"/>
      <c r="X16" s="6"/>
      <c r="Y16" s="6"/>
      <c r="Z16" s="6"/>
      <c r="AA16" s="6"/>
      <c r="AB16" s="18"/>
      <c r="AG16" t="str">
        <f t="shared" si="0"/>
        <v>Max. W x H 4000x4000</v>
      </c>
      <c r="AH16" t="s">
        <v>116</v>
      </c>
      <c r="AI16" t="s">
        <v>116</v>
      </c>
      <c r="AJ16" t="s">
        <v>116</v>
      </c>
      <c r="AK16" t="s">
        <v>116</v>
      </c>
      <c r="AL16" t="s">
        <v>116</v>
      </c>
      <c r="AM16" t="s">
        <v>116</v>
      </c>
      <c r="AN16" t="s">
        <v>116</v>
      </c>
      <c r="AO16" t="s">
        <v>116</v>
      </c>
      <c r="AP16" t="s">
        <v>117</v>
      </c>
    </row>
    <row r="17" spans="1:42" ht="15" customHeight="1">
      <c r="B17" s="116"/>
      <c r="C17" s="129"/>
      <c r="D17" s="26"/>
      <c r="E17" s="26"/>
      <c r="F17" s="26"/>
      <c r="G17" s="26"/>
      <c r="H17" s="128"/>
      <c r="I17" s="37"/>
      <c r="J17" s="38"/>
      <c r="K17" s="6"/>
      <c r="L17" s="6"/>
      <c r="M17" s="6"/>
      <c r="N17" s="6"/>
      <c r="O17" s="6"/>
      <c r="P17" s="26"/>
      <c r="Q17" s="26"/>
      <c r="R17" s="26"/>
      <c r="S17" s="130"/>
      <c r="T17" s="131"/>
      <c r="U17" s="26"/>
      <c r="V17" s="6"/>
      <c r="W17" s="6"/>
      <c r="X17" s="6"/>
      <c r="Y17" s="6"/>
      <c r="Z17" s="6"/>
      <c r="AA17" s="6"/>
      <c r="AB17" s="18"/>
    </row>
    <row r="18" spans="1:42" ht="15" customHeight="1">
      <c r="B18" s="116"/>
      <c r="C18" s="26"/>
      <c r="D18" s="26"/>
      <c r="E18" s="26"/>
      <c r="F18" s="26"/>
      <c r="G18" s="26"/>
      <c r="H18" s="128"/>
      <c r="I18" s="39" t="str">
        <f xml:space="preserve"> "Z =  " &amp; N65</f>
        <v>Z =  NICHT ERFORDELICH</v>
      </c>
      <c r="J18" s="40"/>
      <c r="K18" s="6"/>
      <c r="L18" s="6"/>
      <c r="M18" s="6"/>
      <c r="N18" s="6"/>
      <c r="O18" s="6"/>
      <c r="P18" s="26"/>
      <c r="Q18" s="26"/>
      <c r="R18" s="26"/>
      <c r="S18" s="132"/>
      <c r="T18" s="131"/>
      <c r="U18" s="26"/>
      <c r="V18" s="6"/>
      <c r="W18" s="6"/>
      <c r="X18" s="6"/>
      <c r="Y18" s="6"/>
      <c r="Z18" s="6"/>
      <c r="AA18" s="6"/>
      <c r="AB18" s="18"/>
    </row>
    <row r="19" spans="1:42" ht="29.25" customHeight="1">
      <c r="A19" t="s">
        <v>118</v>
      </c>
      <c r="B19" s="116"/>
      <c r="C19" s="133"/>
      <c r="D19" s="26"/>
      <c r="E19" s="26"/>
      <c r="F19" s="26"/>
      <c r="G19" s="26"/>
      <c r="H19" s="128"/>
      <c r="I19" s="6" t="str">
        <f xml:space="preserve"> "(1) " &amp; $AG$37</f>
        <v>(1) BENÖTIGTER FREIRAUM</v>
      </c>
      <c r="J19" s="6"/>
      <c r="K19" s="6"/>
      <c r="L19" s="6"/>
      <c r="M19" s="6"/>
      <c r="N19" s="6"/>
      <c r="O19" s="6"/>
      <c r="P19" s="26"/>
      <c r="Q19" s="26"/>
      <c r="R19" s="26"/>
      <c r="S19" s="132"/>
      <c r="T19" s="131"/>
      <c r="U19" s="26"/>
      <c r="V19" s="6"/>
      <c r="W19" s="6"/>
      <c r="X19" s="6"/>
      <c r="Y19" s="6"/>
      <c r="Z19" s="6"/>
      <c r="AA19" s="6"/>
      <c r="AB19" s="18"/>
    </row>
    <row r="20" spans="1:42" ht="54" customHeight="1">
      <c r="B20" s="41"/>
      <c r="C20" s="133"/>
      <c r="D20" s="26"/>
      <c r="E20" s="26"/>
      <c r="F20" s="26"/>
      <c r="G20" s="26"/>
      <c r="H20" s="128"/>
      <c r="I20" s="42" t="str">
        <f>IF(K7=AU1,"","(2) "&amp;$AG$48)</f>
        <v xml:space="preserve">(2) Benötigter Freiraum bei Elektro- oder Haspelkettenbedienung </v>
      </c>
      <c r="J20" s="6"/>
      <c r="K20" s="38"/>
      <c r="L20" s="6"/>
      <c r="M20" s="6"/>
      <c r="N20" s="6"/>
      <c r="O20" s="6"/>
      <c r="P20" s="26"/>
      <c r="Q20" s="26"/>
      <c r="R20" s="26"/>
      <c r="S20" s="132"/>
      <c r="T20" s="134"/>
      <c r="U20" s="134"/>
      <c r="V20" s="6"/>
      <c r="W20" s="6"/>
      <c r="X20" s="6"/>
      <c r="Y20" s="6"/>
      <c r="Z20" s="6"/>
      <c r="AA20" s="6"/>
      <c r="AB20" s="18"/>
      <c r="AG20" t="str">
        <f>VLOOKUP(AH20,AH20:AR112,$AE$1,FALSE)</f>
        <v>Montage auf Mauerwerk und Ziegel</v>
      </c>
      <c r="AH20" t="s">
        <v>119</v>
      </c>
      <c r="AI20" t="s">
        <v>120</v>
      </c>
      <c r="AJ20" t="s">
        <v>121</v>
      </c>
      <c r="AK20" t="s">
        <v>122</v>
      </c>
      <c r="AL20" t="s">
        <v>123</v>
      </c>
      <c r="AM20" t="s">
        <v>124</v>
      </c>
      <c r="AN20" t="s">
        <v>125</v>
      </c>
      <c r="AO20" t="s">
        <v>126</v>
      </c>
      <c r="AP20" t="s">
        <v>127</v>
      </c>
    </row>
    <row r="21" spans="1:42" ht="15.75">
      <c r="B21" s="25"/>
      <c r="C21" s="26"/>
      <c r="D21" s="26"/>
      <c r="E21" s="26"/>
      <c r="F21" s="26"/>
      <c r="G21" s="26"/>
      <c r="H21" s="43"/>
      <c r="I21" s="44" t="str">
        <f>IF(OR(K9=AU1,K9=AU3,K9=AU4),"","(3) "&amp;$AG$49)</f>
        <v>(3) Montagefläche für Antriebsteuerung. Siehe Produktdokumentation für Abmessungen</v>
      </c>
      <c r="J21" s="6"/>
      <c r="K21" s="6"/>
      <c r="L21" s="6"/>
      <c r="M21" s="6"/>
      <c r="N21" s="6"/>
      <c r="O21" s="6"/>
      <c r="P21" s="26"/>
      <c r="Q21" s="26"/>
      <c r="R21" s="26"/>
      <c r="S21" s="26"/>
      <c r="T21" s="131"/>
      <c r="U21" s="131"/>
      <c r="V21" s="6"/>
      <c r="W21" s="6"/>
      <c r="X21" s="6"/>
      <c r="Y21" s="17" t="str">
        <f>VLOOKUP(AG20,AG2:AR94,$AE$1+1,FALSE)</f>
        <v>Montage auf Mauerwerk und Ziegel</v>
      </c>
      <c r="Z21" s="17"/>
      <c r="AA21" s="6"/>
      <c r="AB21" s="18"/>
      <c r="AG21" t="str">
        <f>VLOOKUP(AH21,AH21:AR113,$AE$1,FALSE)</f>
        <v>Montage auf Porenbeton oder Gasbeton</v>
      </c>
      <c r="AH21" t="s">
        <v>128</v>
      </c>
      <c r="AI21" t="s">
        <v>129</v>
      </c>
      <c r="AJ21" t="s">
        <v>130</v>
      </c>
      <c r="AK21" t="s">
        <v>131</v>
      </c>
      <c r="AL21" t="s">
        <v>132</v>
      </c>
      <c r="AM21" t="s">
        <v>133</v>
      </c>
      <c r="AN21" t="s">
        <v>134</v>
      </c>
      <c r="AO21" t="s">
        <v>135</v>
      </c>
      <c r="AP21" t="s">
        <v>136</v>
      </c>
    </row>
    <row r="22" spans="1:42" ht="15.75">
      <c r="B22" s="137"/>
      <c r="C22" s="26"/>
      <c r="D22" s="26"/>
      <c r="E22" s="26"/>
      <c r="F22" s="26"/>
      <c r="G22" s="26"/>
      <c r="H22" s="26"/>
      <c r="I22" s="17"/>
      <c r="J22" s="6"/>
      <c r="K22" s="6"/>
      <c r="L22" s="6"/>
      <c r="M22" s="6"/>
      <c r="N22" s="6"/>
      <c r="O22" s="6"/>
      <c r="P22" s="26"/>
      <c r="Q22" s="26"/>
      <c r="R22" s="26"/>
      <c r="S22" s="26"/>
      <c r="T22" s="131"/>
      <c r="U22" s="131"/>
      <c r="V22" s="6"/>
      <c r="W22" s="6"/>
      <c r="X22" s="6"/>
      <c r="Y22" s="17"/>
      <c r="Z22" s="17"/>
      <c r="AA22" s="6"/>
      <c r="AB22" s="18"/>
      <c r="AG22" t="str">
        <f>VLOOKUP(AH22,AH22:AR114,$AE$1,FALSE)</f>
        <v>Montage auf ISO-Trapezblechfassade</v>
      </c>
      <c r="AH22" t="s">
        <v>137</v>
      </c>
      <c r="AI22" t="s">
        <v>138</v>
      </c>
      <c r="AJ22" t="s">
        <v>139</v>
      </c>
      <c r="AK22" t="s">
        <v>140</v>
      </c>
      <c r="AL22" t="s">
        <v>141</v>
      </c>
      <c r="AM22" t="s">
        <v>142</v>
      </c>
      <c r="AN22" t="s">
        <v>143</v>
      </c>
      <c r="AO22" t="s">
        <v>144</v>
      </c>
      <c r="AP22" t="s">
        <v>145</v>
      </c>
    </row>
    <row r="23" spans="1:42" ht="15.75" customHeight="1">
      <c r="B23" s="137"/>
      <c r="C23" s="26"/>
      <c r="D23" s="26"/>
      <c r="E23" s="26"/>
      <c r="F23" s="26"/>
      <c r="G23" s="26"/>
      <c r="H23" s="26"/>
      <c r="I23" s="17" t="str">
        <f>IF(OR(K9=AU1,K9=AU3,K9=AU4),"","(4) "&amp;$AG$51)</f>
        <v>(4) Die Parameter der Steckdosen sind in der Produktdokumentation zu finden.</v>
      </c>
      <c r="J23" s="6"/>
      <c r="K23" s="6"/>
      <c r="L23" s="6"/>
      <c r="M23" s="6"/>
      <c r="N23" s="6"/>
      <c r="O23" s="6"/>
      <c r="P23" s="26"/>
      <c r="Q23" s="26"/>
      <c r="R23" s="26"/>
      <c r="S23" s="138"/>
      <c r="T23" s="131"/>
      <c r="U23" s="131"/>
      <c r="V23" s="6"/>
      <c r="W23" s="6"/>
      <c r="X23" s="6"/>
      <c r="Y23" s="17"/>
      <c r="Z23" s="17"/>
      <c r="AA23" s="6"/>
      <c r="AB23" s="18"/>
    </row>
    <row r="24" spans="1:42" ht="15.75">
      <c r="B24" s="137"/>
      <c r="C24" s="26"/>
      <c r="D24" s="26"/>
      <c r="E24" s="26"/>
      <c r="F24" s="26"/>
      <c r="G24" s="26"/>
      <c r="H24" s="26"/>
      <c r="I24" s="17"/>
      <c r="J24" s="6"/>
      <c r="K24" s="6"/>
      <c r="L24" s="6"/>
      <c r="M24" s="6"/>
      <c r="N24" s="6"/>
      <c r="O24" s="6"/>
      <c r="P24" s="26"/>
      <c r="Q24" s="26"/>
      <c r="R24" s="26"/>
      <c r="S24" s="138"/>
      <c r="T24" s="26"/>
      <c r="U24" s="26"/>
      <c r="V24" s="6"/>
      <c r="W24" s="6"/>
      <c r="X24" s="6"/>
      <c r="Y24" s="17"/>
      <c r="Z24" s="17"/>
      <c r="AA24" s="6"/>
      <c r="AB24" s="18"/>
    </row>
    <row r="25" spans="1:42" ht="15.75" customHeight="1">
      <c r="B25" s="137"/>
      <c r="C25" s="26"/>
      <c r="D25" s="26"/>
      <c r="E25" s="26"/>
      <c r="F25" s="26"/>
      <c r="G25" s="26"/>
      <c r="H25" s="26"/>
      <c r="I25" s="6"/>
      <c r="J25" s="17"/>
      <c r="K25" s="17"/>
      <c r="L25" s="17"/>
      <c r="M25" s="17"/>
      <c r="N25" s="17"/>
      <c r="O25" s="17"/>
      <c r="P25" s="45"/>
      <c r="Q25" s="45"/>
      <c r="R25" s="26"/>
      <c r="S25" s="138"/>
      <c r="T25" s="46"/>
      <c r="U25" s="46"/>
      <c r="V25" s="6"/>
      <c r="W25" s="6"/>
      <c r="X25" s="6"/>
      <c r="Y25" s="17"/>
      <c r="Z25" s="17"/>
      <c r="AA25" s="6"/>
      <c r="AB25" s="18"/>
      <c r="AG25" t="str">
        <f t="shared" ref="AG25:AG32" si="1">VLOOKUP(AH25,AH25:AR117,$AE$1,FALSE)</f>
        <v>VORBEREITUNGEN UND ARBEITEN DIE VOM AUFTRAGGEBER ZU ERBRINGEN SIND, AUßER BEI SCHRIFTLICHER VEREINBARUNG IM VORAUS:</v>
      </c>
      <c r="AH25" t="s">
        <v>146</v>
      </c>
      <c r="AI25" t="s">
        <v>147</v>
      </c>
      <c r="AJ25" t="s">
        <v>148</v>
      </c>
      <c r="AK25" t="s">
        <v>149</v>
      </c>
      <c r="AL25" t="s">
        <v>150</v>
      </c>
      <c r="AM25" t="s">
        <v>151</v>
      </c>
      <c r="AN25" t="s">
        <v>152</v>
      </c>
      <c r="AO25" t="s">
        <v>153</v>
      </c>
      <c r="AP25" t="s">
        <v>154</v>
      </c>
    </row>
    <row r="26" spans="1:42" ht="15.75" customHeight="1">
      <c r="B26" s="139"/>
      <c r="C26" s="26"/>
      <c r="D26" s="26"/>
      <c r="E26" s="26"/>
      <c r="F26" s="26"/>
      <c r="G26" s="26"/>
      <c r="H26" s="26"/>
      <c r="I26" s="6"/>
      <c r="J26" s="17"/>
      <c r="K26" s="17"/>
      <c r="L26" s="17"/>
      <c r="M26" s="17"/>
      <c r="N26" s="17"/>
      <c r="O26" s="17"/>
      <c r="P26" s="45"/>
      <c r="Q26" s="45"/>
      <c r="R26" s="26"/>
      <c r="S26" s="138"/>
      <c r="T26" s="46"/>
      <c r="U26" s="46"/>
      <c r="V26" s="6"/>
      <c r="W26" s="6"/>
      <c r="X26" s="6"/>
      <c r="Y26" s="17" t="str">
        <f>VLOOKUP(AG21,AG2:AR94,$AE$1+1,FALSE)</f>
        <v>Montage auf Porenbeton oder Gasbeton</v>
      </c>
      <c r="Z26" s="17"/>
      <c r="AA26" s="6"/>
      <c r="AB26" s="18"/>
      <c r="AG26" t="str">
        <f t="shared" si="1"/>
        <v>Bauseits:</v>
      </c>
      <c r="AH26" t="s">
        <v>155</v>
      </c>
      <c r="AI26" t="s">
        <v>156</v>
      </c>
      <c r="AJ26" t="s">
        <v>157</v>
      </c>
      <c r="AK26" t="s">
        <v>158</v>
      </c>
      <c r="AL26" t="s">
        <v>159</v>
      </c>
      <c r="AM26" t="s">
        <v>160</v>
      </c>
      <c r="AN26" t="s">
        <v>161</v>
      </c>
      <c r="AO26" t="s">
        <v>162</v>
      </c>
      <c r="AP26" t="s">
        <v>163</v>
      </c>
    </row>
    <row r="27" spans="1:42" ht="15.75" customHeight="1">
      <c r="B27" s="139"/>
      <c r="C27" s="26"/>
      <c r="D27" s="26"/>
      <c r="E27" s="26"/>
      <c r="F27" s="26"/>
      <c r="G27" s="26"/>
      <c r="H27" s="133"/>
      <c r="I27" s="17"/>
      <c r="J27" s="17"/>
      <c r="K27" s="17"/>
      <c r="L27" s="17"/>
      <c r="M27" s="17"/>
      <c r="N27" s="17"/>
      <c r="O27" s="17"/>
      <c r="P27" s="45"/>
      <c r="Q27" s="45"/>
      <c r="R27" s="26"/>
      <c r="S27" s="138"/>
      <c r="T27" s="46"/>
      <c r="U27" s="46"/>
      <c r="V27" s="6"/>
      <c r="W27" s="6"/>
      <c r="X27" s="6"/>
      <c r="Y27" s="17"/>
      <c r="Z27" s="17"/>
      <c r="AA27" s="6"/>
      <c r="AB27" s="18"/>
      <c r="AG27" t="str">
        <f t="shared" si="1"/>
        <v>Ein stählerner Montagerahmen zur Befestigung der vertikalen Laufschienen und des Federpakets bei nicht tragfähigen Flächen wie z.B. Porenbeton, Gasbeton, Isolationspanelen u.s.w..</v>
      </c>
      <c r="AH27" t="s">
        <v>164</v>
      </c>
      <c r="AI27" t="s">
        <v>165</v>
      </c>
      <c r="AJ27" t="s">
        <v>166</v>
      </c>
      <c r="AK27" t="s">
        <v>167</v>
      </c>
      <c r="AL27" t="s">
        <v>168</v>
      </c>
      <c r="AM27" t="s">
        <v>169</v>
      </c>
      <c r="AN27" t="s">
        <v>170</v>
      </c>
      <c r="AO27" t="s">
        <v>171</v>
      </c>
      <c r="AP27" t="s">
        <v>172</v>
      </c>
    </row>
    <row r="28" spans="1:42" ht="29.25" customHeight="1">
      <c r="B28" s="139"/>
      <c r="C28" s="33"/>
      <c r="D28" s="26"/>
      <c r="E28" s="26"/>
      <c r="F28" s="26"/>
      <c r="G28" s="26"/>
      <c r="H28" s="133"/>
      <c r="I28" s="6"/>
      <c r="J28" s="17"/>
      <c r="K28" s="17"/>
      <c r="L28" s="17"/>
      <c r="M28" s="17"/>
      <c r="N28" s="17"/>
      <c r="O28" s="17"/>
      <c r="P28" s="45"/>
      <c r="Q28" s="45"/>
      <c r="R28" s="26"/>
      <c r="S28" s="26"/>
      <c r="T28" s="26"/>
      <c r="U28" s="26"/>
      <c r="V28" s="6"/>
      <c r="W28" s="6"/>
      <c r="X28" s="6"/>
      <c r="Y28" s="17"/>
      <c r="Z28" s="17"/>
      <c r="AA28" s="6"/>
      <c r="AB28" s="18"/>
      <c r="AG28" t="str">
        <f t="shared" si="1"/>
        <v>Befestigungsmöglichkeit für die Zwischen- und Endaufhängung der horizontalen Laufschienen bis zu max. 1 m über diesen Laufschienen.</v>
      </c>
      <c r="AH28" t="s">
        <v>173</v>
      </c>
      <c r="AI28" t="s">
        <v>174</v>
      </c>
      <c r="AJ28" t="s">
        <v>175</v>
      </c>
      <c r="AK28" t="s">
        <v>176</v>
      </c>
      <c r="AL28" t="s">
        <v>177</v>
      </c>
      <c r="AM28" t="s">
        <v>178</v>
      </c>
      <c r="AN28" t="s">
        <v>179</v>
      </c>
      <c r="AO28" t="s">
        <v>180</v>
      </c>
      <c r="AP28" t="s">
        <v>181</v>
      </c>
    </row>
    <row r="29" spans="1:42" ht="15.75">
      <c r="B29" s="25"/>
      <c r="C29" s="33"/>
      <c r="D29" s="26"/>
      <c r="E29" s="26"/>
      <c r="F29" s="26"/>
      <c r="G29" s="26"/>
      <c r="H29" s="43"/>
      <c r="I29" s="17"/>
      <c r="J29" s="17"/>
      <c r="K29" s="17"/>
      <c r="L29" s="17"/>
      <c r="M29" s="17"/>
      <c r="N29" s="17"/>
      <c r="O29" s="17"/>
      <c r="P29" s="45"/>
      <c r="Q29" s="45"/>
      <c r="R29" s="26"/>
      <c r="S29" s="26"/>
      <c r="T29" s="26"/>
      <c r="U29" s="26"/>
      <c r="V29" s="6"/>
      <c r="W29" s="6"/>
      <c r="X29" s="6"/>
      <c r="Y29" s="140" t="str">
        <f>VLOOKUP($AG$22,$AG$2:$AR$94,$AE$1+1,FALSE)</f>
        <v>Montage auf ISO-Trapezblechfassade</v>
      </c>
      <c r="Z29" s="140"/>
      <c r="AA29" s="140"/>
      <c r="AB29" s="18"/>
      <c r="AG29" t="str">
        <f t="shared" si="1"/>
        <v>Benötigte Montageflächen und Freiräume gemäß Zeichnung.</v>
      </c>
      <c r="AH29" t="s">
        <v>182</v>
      </c>
      <c r="AI29" t="s">
        <v>183</v>
      </c>
      <c r="AJ29" t="s">
        <v>184</v>
      </c>
      <c r="AK29" t="s">
        <v>185</v>
      </c>
      <c r="AL29" t="s">
        <v>186</v>
      </c>
      <c r="AM29" t="s">
        <v>187</v>
      </c>
      <c r="AN29" t="s">
        <v>188</v>
      </c>
      <c r="AO29" t="s">
        <v>189</v>
      </c>
      <c r="AP29" t="s">
        <v>190</v>
      </c>
    </row>
    <row r="30" spans="1:42" ht="17.25" customHeight="1">
      <c r="B30" s="25"/>
      <c r="C30" s="26"/>
      <c r="D30" s="26"/>
      <c r="E30" s="26"/>
      <c r="F30" s="26"/>
      <c r="G30" s="26"/>
      <c r="H30" s="26"/>
      <c r="I30" s="47"/>
      <c r="J30" s="47"/>
      <c r="K30" s="47"/>
      <c r="L30" s="47"/>
      <c r="M30" s="47"/>
      <c r="N30" s="47"/>
      <c r="O30" s="47"/>
      <c r="P30" s="48"/>
      <c r="Q30" s="48"/>
      <c r="R30" s="26"/>
      <c r="S30" s="26"/>
      <c r="T30" s="26"/>
      <c r="U30" s="26"/>
      <c r="V30" s="6"/>
      <c r="W30" s="6"/>
      <c r="X30" s="6"/>
      <c r="Y30" s="140"/>
      <c r="Z30" s="140"/>
      <c r="AA30" s="140"/>
      <c r="AB30" s="18"/>
      <c r="AG30" t="str">
        <f t="shared" si="1"/>
        <v>Elektrisch (bei elektrisch bedienten Toren):</v>
      </c>
      <c r="AH30" t="s">
        <v>191</v>
      </c>
      <c r="AI30" t="s">
        <v>192</v>
      </c>
      <c r="AJ30" t="s">
        <v>193</v>
      </c>
      <c r="AK30" t="s">
        <v>194</v>
      </c>
      <c r="AL30" t="s">
        <v>195</v>
      </c>
      <c r="AM30" t="s">
        <v>196</v>
      </c>
      <c r="AN30" t="s">
        <v>197</v>
      </c>
      <c r="AO30" t="s">
        <v>198</v>
      </c>
      <c r="AP30" t="s">
        <v>199</v>
      </c>
    </row>
    <row r="31" spans="1:42" ht="15.75" customHeight="1">
      <c r="B31" s="25"/>
      <c r="C31" s="26"/>
      <c r="D31" s="26"/>
      <c r="E31" s="26"/>
      <c r="F31" s="26"/>
      <c r="G31" s="26"/>
      <c r="H31" s="26"/>
      <c r="I31" s="47"/>
      <c r="J31" s="47"/>
      <c r="K31" s="47"/>
      <c r="L31" s="47"/>
      <c r="M31" s="47"/>
      <c r="N31" s="47"/>
      <c r="O31" s="47"/>
      <c r="P31" s="48"/>
      <c r="Q31" s="48"/>
      <c r="R31" s="26"/>
      <c r="S31" s="26"/>
      <c r="T31" s="26"/>
      <c r="U31" s="26"/>
      <c r="V31" s="6"/>
      <c r="W31" s="6"/>
      <c r="X31" s="6"/>
      <c r="AB31" s="18"/>
      <c r="AG31" t="str">
        <f t="shared" si="1"/>
        <v>Stromzufuhr 400V/230V mittels Eurosteckdose, 3 Phasen+0+PE max.1 meter vom Schaltkasten.</v>
      </c>
      <c r="AH31" t="s">
        <v>200</v>
      </c>
      <c r="AI31" t="s">
        <v>201</v>
      </c>
      <c r="AJ31" t="s">
        <v>202</v>
      </c>
      <c r="AK31" t="s">
        <v>203</v>
      </c>
      <c r="AL31" t="s">
        <v>204</v>
      </c>
      <c r="AM31" t="s">
        <v>205</v>
      </c>
      <c r="AN31" t="s">
        <v>206</v>
      </c>
      <c r="AO31" t="s">
        <v>207</v>
      </c>
      <c r="AP31" t="s">
        <v>208</v>
      </c>
    </row>
    <row r="32" spans="1:42" ht="15.75" customHeight="1">
      <c r="B32" s="25"/>
      <c r="C32" s="26"/>
      <c r="D32" s="26"/>
      <c r="E32" s="29"/>
      <c r="F32" s="141"/>
      <c r="G32" s="141"/>
      <c r="H32" s="26"/>
      <c r="I32" s="6"/>
      <c r="J32" s="6"/>
      <c r="K32" s="6"/>
      <c r="L32" s="6"/>
      <c r="M32" s="6"/>
      <c r="N32" s="6"/>
      <c r="O32" s="6"/>
      <c r="P32" s="26"/>
      <c r="Q32" s="26"/>
      <c r="R32" s="26"/>
      <c r="S32" s="26"/>
      <c r="T32" s="26"/>
      <c r="U32" s="26"/>
      <c r="V32" s="6"/>
      <c r="W32" s="6"/>
      <c r="X32" s="6"/>
      <c r="AB32" s="18"/>
      <c r="AG32" t="str">
        <f t="shared" si="1"/>
        <v>Montagefläche für Schaltkasten, Abmessungen 250 x 400 mm</v>
      </c>
      <c r="AH32" t="s">
        <v>209</v>
      </c>
      <c r="AI32" t="s">
        <v>210</v>
      </c>
      <c r="AJ32" t="s">
        <v>211</v>
      </c>
      <c r="AK32" t="s">
        <v>212</v>
      </c>
      <c r="AL32" t="s">
        <v>213</v>
      </c>
      <c r="AM32" t="s">
        <v>214</v>
      </c>
      <c r="AN32" t="s">
        <v>215</v>
      </c>
      <c r="AO32" t="s">
        <v>216</v>
      </c>
      <c r="AP32" t="s">
        <v>217</v>
      </c>
    </row>
    <row r="33" spans="1:42">
      <c r="B33" s="25"/>
      <c r="C33" s="26"/>
      <c r="D33" s="26"/>
      <c r="E33" s="26"/>
      <c r="F33" s="142"/>
      <c r="G33" s="30"/>
      <c r="H33" s="33"/>
      <c r="I33" s="6"/>
      <c r="J33" s="6"/>
      <c r="K33" s="6"/>
      <c r="L33" s="6"/>
      <c r="M33" s="6"/>
      <c r="N33" s="6"/>
      <c r="O33" s="6"/>
      <c r="P33" s="26"/>
      <c r="Q33" s="26"/>
      <c r="R33" s="26"/>
      <c r="S33" s="26"/>
      <c r="T33" s="26"/>
      <c r="U33" s="26"/>
      <c r="V33" s="6"/>
      <c r="W33" s="6"/>
      <c r="X33" s="6"/>
      <c r="Y33" s="6"/>
      <c r="Z33" s="6"/>
      <c r="AA33" s="6"/>
      <c r="AB33" s="18"/>
    </row>
    <row r="34" spans="1:42">
      <c r="B34" s="25"/>
      <c r="C34" s="26"/>
      <c r="D34" s="26"/>
      <c r="E34" s="26"/>
      <c r="F34" s="142"/>
      <c r="G34" s="32"/>
      <c r="H34" s="2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18"/>
    </row>
    <row r="35" spans="1:42">
      <c r="B35" s="49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18"/>
      <c r="AG35" t="str">
        <f t="shared" ref="AG35:AG38" si="2">VLOOKUP(AH35,AH35:AR124,$AE$1,FALSE)</f>
        <v>BENÖTIGTE MONTAGEFLÄCHEN</v>
      </c>
      <c r="AH35" t="s">
        <v>218</v>
      </c>
      <c r="AI35" t="s">
        <v>219</v>
      </c>
      <c r="AJ35" t="s">
        <v>220</v>
      </c>
      <c r="AK35" t="s">
        <v>221</v>
      </c>
      <c r="AL35" t="s">
        <v>222</v>
      </c>
      <c r="AM35" s="50" t="s">
        <v>223</v>
      </c>
      <c r="AN35" t="s">
        <v>224</v>
      </c>
      <c r="AO35" t="s">
        <v>225</v>
      </c>
      <c r="AP35" t="s">
        <v>226</v>
      </c>
    </row>
    <row r="36" spans="1:42" ht="18.75">
      <c r="B36" s="49"/>
      <c r="C36" s="6"/>
      <c r="D36" s="6"/>
      <c r="E36" s="12" t="str">
        <f>VLOOKUP(AG7,AG2:AR94,$AE$1+1,FALSE)</f>
        <v>DURCHSCHNITT B-B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18"/>
      <c r="AG36" t="str">
        <f t="shared" si="2"/>
        <v>MONTAGEFLÄCHE FÜR DEN MOTOR</v>
      </c>
      <c r="AH36" t="s">
        <v>227</v>
      </c>
      <c r="AI36" t="s">
        <v>228</v>
      </c>
      <c r="AJ36" t="s">
        <v>229</v>
      </c>
      <c r="AK36" t="s">
        <v>230</v>
      </c>
      <c r="AL36" s="22" t="s">
        <v>231</v>
      </c>
      <c r="AM36" s="50" t="s">
        <v>232</v>
      </c>
      <c r="AN36" t="s">
        <v>233</v>
      </c>
      <c r="AO36" t="s">
        <v>234</v>
      </c>
      <c r="AP36" t="s">
        <v>235</v>
      </c>
    </row>
    <row r="37" spans="1:42" ht="15.75">
      <c r="B37" s="49"/>
      <c r="C37" s="6"/>
      <c r="D37" s="6"/>
      <c r="E37" s="6"/>
      <c r="F37" s="6"/>
      <c r="G37" s="6"/>
      <c r="H37" s="6"/>
      <c r="I37" s="6"/>
      <c r="J37" s="6"/>
      <c r="K37" s="6"/>
      <c r="L37" s="17" t="str">
        <f>VLOOKUP(AG41,AG2:AR94,$AE$1+1,FALSE)</f>
        <v>Bodenneigung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18"/>
      <c r="AG37" t="str">
        <f t="shared" si="2"/>
        <v>BENÖTIGTER FREIRAUM</v>
      </c>
      <c r="AH37" t="s">
        <v>236</v>
      </c>
      <c r="AI37" t="s">
        <v>237</v>
      </c>
      <c r="AJ37" t="s">
        <v>238</v>
      </c>
      <c r="AK37" t="s">
        <v>239</v>
      </c>
      <c r="AL37" t="s">
        <v>240</v>
      </c>
      <c r="AM37" s="50" t="s">
        <v>241</v>
      </c>
      <c r="AN37" t="s">
        <v>242</v>
      </c>
      <c r="AO37" t="s">
        <v>243</v>
      </c>
      <c r="AP37" t="s">
        <v>244</v>
      </c>
    </row>
    <row r="38" spans="1:42" ht="15.75">
      <c r="B38" s="49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7"/>
      <c r="O38" s="6"/>
      <c r="P38" s="6"/>
      <c r="Q38" s="6"/>
      <c r="R38" s="6"/>
      <c r="S38" s="6"/>
      <c r="T38" s="6"/>
      <c r="U38" s="6"/>
      <c r="V38" s="6"/>
      <c r="W38" s="6"/>
      <c r="X38" s="121"/>
      <c r="Y38" s="121"/>
      <c r="Z38" s="121"/>
      <c r="AA38" s="51"/>
      <c r="AB38" s="18"/>
      <c r="AG38" t="str">
        <f t="shared" si="2"/>
        <v>EXTRA FREIRAUM FÜR MOTOR/KETTE</v>
      </c>
      <c r="AH38" t="s">
        <v>245</v>
      </c>
      <c r="AI38" t="s">
        <v>246</v>
      </c>
      <c r="AJ38" t="s">
        <v>247</v>
      </c>
      <c r="AK38" t="s">
        <v>248</v>
      </c>
      <c r="AL38" s="52" t="s">
        <v>249</v>
      </c>
      <c r="AM38" s="50" t="s">
        <v>250</v>
      </c>
      <c r="AN38" t="s">
        <v>251</v>
      </c>
      <c r="AO38" t="s">
        <v>252</v>
      </c>
      <c r="AP38" t="s">
        <v>253</v>
      </c>
    </row>
    <row r="39" spans="1:42" ht="15.75">
      <c r="B39" s="4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7"/>
      <c r="O39" s="17"/>
      <c r="P39" s="6"/>
      <c r="Q39" s="6"/>
      <c r="R39" s="6"/>
      <c r="S39" s="6"/>
      <c r="T39" s="6"/>
      <c r="U39" s="6"/>
      <c r="V39" s="6"/>
      <c r="W39" s="6"/>
      <c r="X39" s="121"/>
      <c r="Y39" s="121"/>
      <c r="Z39" s="121"/>
      <c r="AA39" s="51"/>
      <c r="AB39" s="18"/>
    </row>
    <row r="40" spans="1:42" ht="15.75">
      <c r="B40" s="49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7"/>
      <c r="O40" s="17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51"/>
      <c r="AB40" s="18"/>
    </row>
    <row r="41" spans="1:42" ht="15.75">
      <c r="B41" s="49"/>
      <c r="C41" s="6"/>
      <c r="D41" s="38"/>
      <c r="E41" s="126"/>
      <c r="F41" s="126"/>
      <c r="G41" s="6"/>
      <c r="H41" s="6"/>
      <c r="I41" s="6"/>
      <c r="J41" s="6"/>
      <c r="K41" s="6"/>
      <c r="L41" s="6"/>
      <c r="M41" s="6"/>
      <c r="N41" s="17"/>
      <c r="O41" s="17"/>
      <c r="P41" s="6"/>
      <c r="Q41" s="6"/>
      <c r="R41" s="6"/>
      <c r="S41" s="6"/>
      <c r="T41" s="6"/>
      <c r="U41" s="6"/>
      <c r="V41" s="6"/>
      <c r="W41" s="6"/>
      <c r="X41" s="121"/>
      <c r="Y41" s="121"/>
      <c r="Z41" s="121"/>
      <c r="AA41" s="53"/>
      <c r="AB41" s="18"/>
      <c r="AG41" t="str">
        <f>VLOOKUP(AH41,AH41:AR133,$AE$1,FALSE)</f>
        <v>Bodenneigung</v>
      </c>
      <c r="AH41" t="s">
        <v>254</v>
      </c>
      <c r="AI41" t="s">
        <v>255</v>
      </c>
      <c r="AJ41" t="s">
        <v>256</v>
      </c>
      <c r="AK41" t="s">
        <v>257</v>
      </c>
      <c r="AL41" t="s">
        <v>258</v>
      </c>
      <c r="AM41" t="s">
        <v>259</v>
      </c>
      <c r="AN41" t="s">
        <v>260</v>
      </c>
      <c r="AO41" t="s">
        <v>261</v>
      </c>
      <c r="AP41" t="s">
        <v>262</v>
      </c>
    </row>
    <row r="42" spans="1:42" ht="15.75">
      <c r="B42" s="49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7"/>
      <c r="P42" s="6"/>
      <c r="Q42" s="6"/>
      <c r="R42" s="6"/>
      <c r="S42" s="6"/>
      <c r="T42" s="6"/>
      <c r="U42" s="6"/>
      <c r="V42" s="6"/>
      <c r="W42" s="6"/>
      <c r="X42" s="121"/>
      <c r="Y42" s="121"/>
      <c r="Z42" s="121"/>
      <c r="AA42" s="53"/>
      <c r="AB42" s="18"/>
      <c r="AG42" t="str">
        <f>VLOOKUP(AH42,AH42:AR134,$AE$1,FALSE)</f>
        <v>nach aussen</v>
      </c>
      <c r="AH42" t="s">
        <v>263</v>
      </c>
      <c r="AI42" t="s">
        <v>264</v>
      </c>
      <c r="AJ42" t="s">
        <v>265</v>
      </c>
      <c r="AK42" t="s">
        <v>266</v>
      </c>
      <c r="AL42" t="s">
        <v>267</v>
      </c>
      <c r="AM42" t="s">
        <v>268</v>
      </c>
      <c r="AN42" t="s">
        <v>269</v>
      </c>
      <c r="AO42" t="s">
        <v>270</v>
      </c>
    </row>
    <row r="43" spans="1:42" ht="15.75" customHeight="1">
      <c r="B43" s="49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7"/>
      <c r="O43" s="17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18"/>
      <c r="AG43" t="str">
        <f>VLOOKUP(AH43,AH43:AR135,$AE$1,FALSE)</f>
        <v>Gefälle 3%</v>
      </c>
      <c r="AH43" t="s">
        <v>271</v>
      </c>
      <c r="AI43" t="s">
        <v>272</v>
      </c>
      <c r="AJ43" t="s">
        <v>273</v>
      </c>
      <c r="AK43" t="s">
        <v>274</v>
      </c>
      <c r="AL43" t="s">
        <v>275</v>
      </c>
      <c r="AM43" t="s">
        <v>276</v>
      </c>
      <c r="AN43" t="s">
        <v>277</v>
      </c>
      <c r="AO43" t="s">
        <v>278</v>
      </c>
      <c r="AP43" t="s">
        <v>279</v>
      </c>
    </row>
    <row r="44" spans="1:42" ht="15.75">
      <c r="B44" s="49"/>
      <c r="C44" s="6"/>
      <c r="D44" s="6"/>
      <c r="E44" s="6"/>
      <c r="F44" s="6"/>
      <c r="G44" s="6"/>
      <c r="H44" s="6"/>
      <c r="I44" s="6"/>
      <c r="J44" s="6"/>
      <c r="K44" s="6"/>
      <c r="L44" s="17"/>
      <c r="M44" s="6"/>
      <c r="N44" s="17"/>
      <c r="O44" s="17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18"/>
      <c r="AG44" t="str">
        <f>VLOOKUP(AH44,AH44:AR136,$AE$1,FALSE)</f>
        <v>Wasserschenkel</v>
      </c>
      <c r="AH44" t="s">
        <v>263</v>
      </c>
      <c r="AI44" t="s">
        <v>280</v>
      </c>
      <c r="AJ44" t="s">
        <v>281</v>
      </c>
      <c r="AK44" t="s">
        <v>266</v>
      </c>
      <c r="AL44" t="s">
        <v>258</v>
      </c>
      <c r="AM44" t="s">
        <v>282</v>
      </c>
      <c r="AN44" t="s">
        <v>283</v>
      </c>
      <c r="AO44" t="s">
        <v>284</v>
      </c>
    </row>
    <row r="45" spans="1:42" ht="15.75">
      <c r="B45" s="49"/>
      <c r="C45" s="6"/>
      <c r="D45" s="6"/>
      <c r="E45" s="6"/>
      <c r="F45" s="38"/>
      <c r="G45" s="6"/>
      <c r="H45" s="6"/>
      <c r="I45" s="6"/>
      <c r="J45" s="6"/>
      <c r="K45" s="6"/>
      <c r="L45" s="6"/>
      <c r="M45" s="6"/>
      <c r="N45" s="17"/>
      <c r="O45" s="17"/>
      <c r="P45" s="6"/>
      <c r="Q45" s="6"/>
      <c r="R45" s="6" t="str">
        <f>VLOOKUP(AG35,AG2:AR94,$AE$1+1,FALSE)</f>
        <v>BENÖTIGTE MONTAGEFLÄCHEN</v>
      </c>
      <c r="S45" s="6"/>
      <c r="T45" s="6"/>
      <c r="U45" s="6"/>
      <c r="V45" s="6"/>
      <c r="W45" s="6"/>
      <c r="X45" s="6" t="str">
        <f>VLOOKUP(AG37,AG4:AR95,$AE$1+1,FALSE)</f>
        <v>BENÖTIGTER FREIRAUM</v>
      </c>
      <c r="Y45" s="6"/>
      <c r="Z45" s="6"/>
      <c r="AA45" s="6"/>
      <c r="AB45" s="18"/>
      <c r="AG45" t="str">
        <f>VLOOKUP(AH45,AH45:AR137,$AE$1,FALSE)</f>
        <v>Boden mit</v>
      </c>
      <c r="AH45" t="s">
        <v>254</v>
      </c>
      <c r="AI45" t="s">
        <v>285</v>
      </c>
      <c r="AJ45" t="s">
        <v>286</v>
      </c>
      <c r="AK45" t="s">
        <v>257</v>
      </c>
      <c r="AL45" t="s">
        <v>287</v>
      </c>
      <c r="AM45" t="s">
        <v>288</v>
      </c>
      <c r="AN45" t="s">
        <v>289</v>
      </c>
      <c r="AO45" t="s">
        <v>290</v>
      </c>
      <c r="AP45" t="s">
        <v>291</v>
      </c>
    </row>
    <row r="46" spans="1:42" ht="15.75">
      <c r="B46" s="49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17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18"/>
    </row>
    <row r="47" spans="1:42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 t="str">
        <f>VLOOKUP(AG36,AG4:AR95,$AE$1+1,FALSE)</f>
        <v>MONTAGEFLÄCHE FÜR DEN MOTOR</v>
      </c>
      <c r="S47" s="6"/>
      <c r="T47" s="6"/>
      <c r="U47" s="6"/>
      <c r="V47" s="6"/>
      <c r="W47" s="6"/>
      <c r="X47" s="143" t="str">
        <f>VLOOKUP(AG38,AG4:AR95,$AE$1+1,FALSE)</f>
        <v>EXTRA FREIRAUM FÜR MOTOR/KETTE</v>
      </c>
      <c r="Y47" s="143"/>
      <c r="Z47" s="143"/>
      <c r="AA47" s="143"/>
      <c r="AB47" s="144"/>
    </row>
    <row r="48" spans="1:42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143"/>
      <c r="Y48" s="143"/>
      <c r="Z48" s="143"/>
      <c r="AA48" s="143"/>
      <c r="AB48" s="144"/>
      <c r="AG48" t="str">
        <f>VLOOKUP(AH48,AH48:AR143,$AE$1,FALSE)</f>
        <v xml:space="preserve">Benötigter Freiraum bei Elektro- oder Haspelkettenbedienung </v>
      </c>
      <c r="AH48" t="s">
        <v>292</v>
      </c>
      <c r="AI48" t="s">
        <v>293</v>
      </c>
      <c r="AJ48" t="s">
        <v>294</v>
      </c>
      <c r="AK48" t="s">
        <v>295</v>
      </c>
      <c r="AL48" t="s">
        <v>296</v>
      </c>
      <c r="AM48" t="s">
        <v>297</v>
      </c>
      <c r="AN48" t="s">
        <v>298</v>
      </c>
      <c r="AO48" t="s">
        <v>299</v>
      </c>
      <c r="AP48" t="s">
        <v>300</v>
      </c>
    </row>
    <row r="49" spans="1:43" ht="15.75">
      <c r="A49" s="5"/>
      <c r="B49" s="17" t="str">
        <f>VLOOKUP(AG8,AG2:AR94,$AE$1+1,FALSE)</f>
        <v>ACHTUNG:</v>
      </c>
      <c r="C49" s="17"/>
      <c r="D49" s="17"/>
      <c r="E49" s="17"/>
      <c r="F49" s="17"/>
      <c r="G49" s="17"/>
      <c r="H49" s="17"/>
      <c r="I49" s="17"/>
      <c r="J49" s="17"/>
      <c r="K49" s="17"/>
      <c r="L49" s="6"/>
      <c r="M49" s="6"/>
      <c r="N49" s="6"/>
      <c r="O49" s="6"/>
      <c r="P49" s="6"/>
      <c r="Q49" s="6"/>
      <c r="R49" s="135" t="str">
        <f>VLOOKUP(AG25,AG2:AR94,$AE$1+1,FALSE)</f>
        <v>VORBEREITUNGEN UND ARBEITEN DIE VOM AUFTRAGGEBER ZU ERBRINGEN SIND, AUßER BEI SCHRIFTLICHER VEREINBARUNG IM VORAUS:</v>
      </c>
      <c r="S49" s="135"/>
      <c r="T49" s="135"/>
      <c r="U49" s="135"/>
      <c r="V49" s="135"/>
      <c r="W49" s="135"/>
      <c r="X49" s="135"/>
      <c r="Y49" s="135"/>
      <c r="Z49" s="135"/>
      <c r="AA49" s="135"/>
      <c r="AB49" s="136"/>
      <c r="AG49" t="str">
        <f>VLOOKUP(AH49,AH49:AR144,$AE$1,FALSE)</f>
        <v>Montagefläche für Antriebsteuerung. Siehe Produktdokumentation für Abmessungen</v>
      </c>
      <c r="AH49" t="s">
        <v>301</v>
      </c>
      <c r="AI49" t="s">
        <v>302</v>
      </c>
      <c r="AJ49" t="s">
        <v>303</v>
      </c>
      <c r="AK49" t="s">
        <v>304</v>
      </c>
      <c r="AL49" t="s">
        <v>305</v>
      </c>
      <c r="AM49" t="s">
        <v>306</v>
      </c>
      <c r="AN49" t="s">
        <v>307</v>
      </c>
      <c r="AO49" t="s">
        <v>308</v>
      </c>
      <c r="AP49" t="s">
        <v>309</v>
      </c>
    </row>
    <row r="50" spans="1:43" ht="15.75">
      <c r="A50" s="5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6"/>
      <c r="M50" s="6"/>
      <c r="N50" s="6"/>
      <c r="O50" s="6"/>
      <c r="P50" s="6"/>
      <c r="Q50" s="6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6"/>
      <c r="AG50" t="str">
        <f>VLOOKUP(AH50,AH50:AR142,$AE$1,FALSE)</f>
        <v>Achse ca. 1.400 bis 1.500 mm vom Boden</v>
      </c>
      <c r="AH50" t="s">
        <v>310</v>
      </c>
      <c r="AI50" t="s">
        <v>311</v>
      </c>
      <c r="AJ50" t="s">
        <v>312</v>
      </c>
      <c r="AK50" t="s">
        <v>313</v>
      </c>
      <c r="AL50" t="s">
        <v>314</v>
      </c>
      <c r="AM50" t="s">
        <v>315</v>
      </c>
      <c r="AN50" t="s">
        <v>316</v>
      </c>
      <c r="AO50" t="s">
        <v>317</v>
      </c>
      <c r="AP50" t="s">
        <v>318</v>
      </c>
    </row>
    <row r="51" spans="1:43" ht="15.75">
      <c r="B51" s="54" t="str">
        <f>VLOOKUP(AG54,AG2:AR94,$AE$1+1,FALSE)</f>
        <v>Die hinteren Seiten der Sturze und Pfeiler, sowie die Montagefläche für das Federpaket müssen eben und auf einer Linie liegen.</v>
      </c>
      <c r="C51" s="17"/>
      <c r="D51" s="17"/>
      <c r="E51" s="17"/>
      <c r="F51" s="17"/>
      <c r="G51" s="17"/>
      <c r="H51" s="17"/>
      <c r="I51" s="17"/>
      <c r="J51" s="17"/>
      <c r="K51" s="17"/>
      <c r="L51" s="6"/>
      <c r="M51" s="6"/>
      <c r="N51" s="6"/>
      <c r="O51" s="6"/>
      <c r="P51" s="6"/>
      <c r="Q51" s="6"/>
      <c r="R51" s="6" t="str">
        <f>VLOOKUP(AG26,AG2:AR94,$AE$1+1,FALSE)</f>
        <v>Bauseits:</v>
      </c>
      <c r="S51" s="6"/>
      <c r="T51" s="6"/>
      <c r="U51" s="6"/>
      <c r="V51" s="6"/>
      <c r="W51" s="6"/>
      <c r="X51" s="6"/>
      <c r="Y51" s="6"/>
      <c r="Z51" s="6"/>
      <c r="AA51" s="6"/>
      <c r="AB51" s="18"/>
      <c r="AG51" t="str">
        <f t="shared" ref="AG51" si="3">VLOOKUP(AH51,AH51:AR146,$AE$1,FALSE)</f>
        <v>Die Parameter der Steckdosen sind in der Produktdokumentation zu finden.</v>
      </c>
      <c r="AH51" t="s">
        <v>319</v>
      </c>
      <c r="AI51" t="s">
        <v>320</v>
      </c>
      <c r="AJ51" t="s">
        <v>321</v>
      </c>
      <c r="AK51" t="s">
        <v>322</v>
      </c>
      <c r="AL51" t="s">
        <v>323</v>
      </c>
      <c r="AM51" t="s">
        <v>324</v>
      </c>
      <c r="AN51" t="s">
        <v>325</v>
      </c>
      <c r="AO51" t="s">
        <v>326</v>
      </c>
      <c r="AP51" t="s">
        <v>327</v>
      </c>
      <c r="AQ51" t="s">
        <v>327</v>
      </c>
    </row>
    <row r="52" spans="1:43" ht="15.75">
      <c r="B52" s="54" t="str">
        <f>VLOOKUP(AG55,AG2:AR94,$AE$1+1,FALSE)</f>
        <v>Im übrigen müssen die lichten Masse eben und rechtwinklig sein.</v>
      </c>
      <c r="C52" s="17"/>
      <c r="D52" s="17"/>
      <c r="E52" s="17"/>
      <c r="F52" s="17"/>
      <c r="G52" s="17"/>
      <c r="H52" s="17"/>
      <c r="I52" s="17"/>
      <c r="J52" s="17"/>
      <c r="K52" s="17"/>
      <c r="L52" s="6"/>
      <c r="M52" s="6"/>
      <c r="N52" s="6"/>
      <c r="O52" s="6"/>
      <c r="P52" s="6"/>
      <c r="Q52" s="6"/>
      <c r="R52" s="145" t="str">
        <f>VLOOKUP(AG27,AG2:AR94,$AE$1+1,FALSE)</f>
        <v>Ein stählerner Montagerahmen zur Befestigung der vertikalen Laufschienen und des Federpakets bei nicht tragfähigen Flächen wie z.B. Porenbeton, Gasbeton, Isolationspanelen u.s.w..</v>
      </c>
      <c r="S52" s="145"/>
      <c r="T52" s="145"/>
      <c r="U52" s="145"/>
      <c r="V52" s="145"/>
      <c r="W52" s="145"/>
      <c r="X52" s="145"/>
      <c r="Y52" s="145"/>
      <c r="Z52" s="145"/>
      <c r="AA52" s="145"/>
      <c r="AB52" s="146"/>
    </row>
    <row r="53" spans="1:43" ht="15.75" customHeight="1">
      <c r="B53" s="54" t="str">
        <f>VLOOKUP(AG56,AG2:AR94,$AE$1+1,FALSE)</f>
        <v>Der Fussboden muss glatt und waagerecht sein.</v>
      </c>
      <c r="C53" s="17"/>
      <c r="D53" s="17"/>
      <c r="E53" s="17"/>
      <c r="F53" s="17"/>
      <c r="G53" s="17"/>
      <c r="H53" s="17"/>
      <c r="I53" s="17"/>
      <c r="J53" s="17"/>
      <c r="K53" s="17"/>
      <c r="L53" s="6"/>
      <c r="M53" s="6"/>
      <c r="N53" s="6"/>
      <c r="O53" s="6"/>
      <c r="P53" s="6"/>
      <c r="Q53" s="6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6"/>
    </row>
    <row r="54" spans="1:43" ht="16.5" thickBot="1">
      <c r="B54" s="54"/>
      <c r="C54" s="17"/>
      <c r="D54" s="17"/>
      <c r="E54" s="17"/>
      <c r="F54" s="17"/>
      <c r="G54" s="17"/>
      <c r="H54" s="17"/>
      <c r="I54" s="17"/>
      <c r="J54" s="17"/>
      <c r="K54" s="17"/>
      <c r="L54" s="6"/>
      <c r="M54" s="6"/>
      <c r="N54" s="6"/>
      <c r="O54" s="6"/>
      <c r="P54" s="55"/>
      <c r="Q54" s="6"/>
      <c r="R54" s="145" t="str">
        <f>VLOOKUP(AG28,AG3:AR94,$AE$1+1,FALSE)</f>
        <v>Befestigungsmöglichkeit für die Zwischen- und Endaufhängung der horizontalen Laufschienen bis zu max. 1 m über diesen Laufschienen.</v>
      </c>
      <c r="S54" s="145"/>
      <c r="T54" s="145"/>
      <c r="U54" s="145"/>
      <c r="V54" s="145"/>
      <c r="W54" s="145"/>
      <c r="X54" s="145"/>
      <c r="Y54" s="145"/>
      <c r="Z54" s="145"/>
      <c r="AA54" s="145"/>
      <c r="AB54" s="146"/>
      <c r="AG54" t="str">
        <f>VLOOKUP(AH54,AH54:AR146,$AE$1,FALSE)</f>
        <v>Die hinteren Seiten der Sturze und Pfeiler, sowie die Montagefläche für das Federpaket müssen eben und auf einer Linie liegen.</v>
      </c>
      <c r="AH54" t="s">
        <v>328</v>
      </c>
      <c r="AI54" t="s">
        <v>329</v>
      </c>
      <c r="AJ54" t="s">
        <v>330</v>
      </c>
      <c r="AK54" t="s">
        <v>331</v>
      </c>
      <c r="AL54" t="s">
        <v>332</v>
      </c>
      <c r="AM54" t="s">
        <v>333</v>
      </c>
      <c r="AN54" t="s">
        <v>334</v>
      </c>
      <c r="AO54" t="s">
        <v>335</v>
      </c>
      <c r="AP54" t="s">
        <v>336</v>
      </c>
    </row>
    <row r="55" spans="1:43" ht="15.75" thickBot="1">
      <c r="B55" s="56" t="str">
        <f>VLOOKUP(AG59,AG2:AR94,$AE$1+1,FALSE)</f>
        <v>MASSE in mm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8"/>
      <c r="Q55" s="6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6"/>
      <c r="AG55" t="str">
        <f>VLOOKUP(AH55,AH55:AR147,$AE$1,FALSE)</f>
        <v>Im übrigen müssen die lichten Masse eben und rechtwinklig sein.</v>
      </c>
      <c r="AH55" t="s">
        <v>337</v>
      </c>
      <c r="AI55" t="s">
        <v>338</v>
      </c>
      <c r="AJ55" t="s">
        <v>339</v>
      </c>
      <c r="AK55" t="s">
        <v>340</v>
      </c>
      <c r="AL55" t="s">
        <v>341</v>
      </c>
      <c r="AM55" t="s">
        <v>342</v>
      </c>
      <c r="AN55" t="s">
        <v>343</v>
      </c>
      <c r="AO55" t="s">
        <v>344</v>
      </c>
      <c r="AP55" t="s">
        <v>345</v>
      </c>
    </row>
    <row r="56" spans="1:43" ht="15.75" thickBot="1">
      <c r="B56" s="59" t="s">
        <v>346</v>
      </c>
      <c r="C56" s="55" t="str">
        <f>VLOOKUP(AG60,AG2:AR94,$AE$1+1,FALSE)</f>
        <v>Lichte Breite</v>
      </c>
      <c r="D56" s="57"/>
      <c r="E56" s="55"/>
      <c r="F56" s="60" t="str">
        <f>IF(K3="","W ","W = " &amp;K3)</f>
        <v xml:space="preserve">W </v>
      </c>
      <c r="G56" s="61" t="str">
        <f>IF(K9="",AG74,AG99&amp;":" &amp; "  " &amp;K9)</f>
        <v>Elektrisch- oder Haspelkettenbedient</v>
      </c>
      <c r="H56" s="62"/>
      <c r="I56" s="62"/>
      <c r="J56" s="62"/>
      <c r="K56" s="61"/>
      <c r="L56" s="63"/>
      <c r="M56" s="57" t="str">
        <f>VLOOKUP(AG79,AG6:AR97,$AE$1+1,FALSE)</f>
        <v>Freiraum über Sturz</v>
      </c>
      <c r="N56" s="57"/>
      <c r="O56" s="57"/>
      <c r="P56" s="58"/>
      <c r="Q56" s="6"/>
      <c r="R56" s="6" t="str">
        <f>VLOOKUP(AG29,AG2:AR94,$AE$1+1,FALSE)</f>
        <v>Benötigte Montageflächen und Freiräume gemäß Zeichnung.</v>
      </c>
      <c r="S56" s="6"/>
      <c r="T56" s="6"/>
      <c r="U56" s="6"/>
      <c r="V56" s="6"/>
      <c r="W56" s="6"/>
      <c r="X56" s="6"/>
      <c r="Y56" s="6"/>
      <c r="Z56" s="6"/>
      <c r="AA56" s="6"/>
      <c r="AB56" s="18"/>
      <c r="AG56" t="str">
        <f>VLOOKUP(AH56,AH56:AR148,$AE$1,FALSE)</f>
        <v>Der Fussboden muss glatt und waagerecht sein.</v>
      </c>
      <c r="AH56" t="s">
        <v>347</v>
      </c>
      <c r="AI56" t="s">
        <v>348</v>
      </c>
      <c r="AJ56" t="s">
        <v>349</v>
      </c>
      <c r="AK56" t="s">
        <v>350</v>
      </c>
      <c r="AL56" t="s">
        <v>351</v>
      </c>
      <c r="AM56" t="s">
        <v>352</v>
      </c>
      <c r="AN56" t="s">
        <v>353</v>
      </c>
      <c r="AO56" t="s">
        <v>354</v>
      </c>
      <c r="AP56" t="s">
        <v>355</v>
      </c>
    </row>
    <row r="57" spans="1:43" ht="15.75" thickBot="1">
      <c r="B57" s="59" t="s">
        <v>356</v>
      </c>
      <c r="C57" s="55" t="str">
        <f>VLOOKUP(AG61,AG3:AR94,$AE$1+1,FALSE)</f>
        <v>Lichte Höhe</v>
      </c>
      <c r="D57" s="57"/>
      <c r="E57" s="57"/>
      <c r="F57" s="58" t="str">
        <f>IF(K5="","H ","H = " &amp;K5)</f>
        <v xml:space="preserve">H </v>
      </c>
      <c r="G57" s="64" t="str">
        <f>IF(K9="","L/R","L")</f>
        <v>L/R</v>
      </c>
      <c r="H57" s="65" t="str">
        <f>IF(K9="",AG114,VLOOKUP(AG66,AG7:AR98,$AE$1+1,FALSE))</f>
        <v xml:space="preserve">Antriebseite </v>
      </c>
      <c r="I57" s="65"/>
      <c r="K57" s="65"/>
      <c r="L57" s="66" t="str">
        <f>IF(K9="","min. 430",IF(K9=AG100,"min. " &amp;280,IF(K9=AG102,"min. 360",IF(K9=AG105,"min. 430","min. " &amp;280))))</f>
        <v>min. 430</v>
      </c>
      <c r="M57" s="59" t="s">
        <v>357</v>
      </c>
      <c r="N57" s="56" t="s">
        <v>358</v>
      </c>
      <c r="O57" s="57"/>
      <c r="P57" s="67" t="str">
        <f>IF(K7="","",K7)</f>
        <v/>
      </c>
      <c r="Q57" s="6"/>
      <c r="R57" s="6" t="str">
        <f>VLOOKUP(AG30,AG2:AR94,$AE$1+1,FALSE)</f>
        <v>Elektrisch (bei elektrisch bedienten Toren):</v>
      </c>
      <c r="S57" s="6"/>
      <c r="T57" s="6"/>
      <c r="U57" s="6"/>
      <c r="V57" s="6"/>
      <c r="W57" s="6"/>
      <c r="X57" s="6"/>
      <c r="Y57" s="6"/>
      <c r="Z57" s="6"/>
      <c r="AA57" s="6"/>
      <c r="AB57" s="18"/>
    </row>
    <row r="58" spans="1:43" ht="15.75" thickBot="1">
      <c r="A58" s="5"/>
      <c r="B58" s="68" t="s">
        <v>359</v>
      </c>
      <c r="C58" s="55" t="str">
        <f>VLOOKUP(AG62,AG4:AR95,$AE$1+1,FALSE)</f>
        <v>Höhe der Führung</v>
      </c>
      <c r="D58" s="6"/>
      <c r="E58" s="6"/>
      <c r="F58" s="58" t="str">
        <f>IF(K7="","HL ","HL = " &amp;P58)</f>
        <v xml:space="preserve">HL </v>
      </c>
      <c r="G58" s="64" t="str">
        <f>IF(K9="","L/R","R")</f>
        <v>L/R</v>
      </c>
      <c r="H58" s="65" t="str">
        <f>IF(K9="",AG115,VLOOKUP(AG67,AG8:AR99,$AE$1+1,FALSE))</f>
        <v xml:space="preserve">Andere Seite </v>
      </c>
      <c r="I58" s="65"/>
      <c r="J58" s="65"/>
      <c r="K58" s="65"/>
      <c r="L58" s="69" t="str">
        <f>IF(K9="","min.280",IF(K9=AG100,"min. " &amp;280,IF(K9=AG103,"min. 360",IF(K9=AG106,"min. 430","min. " &amp;280))))</f>
        <v>min.280</v>
      </c>
      <c r="M58" s="59" t="s">
        <v>360</v>
      </c>
      <c r="N58" s="57"/>
      <c r="O58" s="70" t="s">
        <v>361</v>
      </c>
      <c r="P58" s="58" t="str">
        <f>IF(OR(K3="",K5="",P57=""),"",P57-250)</f>
        <v/>
      </c>
      <c r="Q58" s="6"/>
      <c r="R58" s="6" t="str">
        <f>AG51</f>
        <v>Die Parameter der Steckdosen sind in der Produktdokumentation zu finden.</v>
      </c>
      <c r="S58" s="6"/>
      <c r="T58" s="6"/>
      <c r="U58" s="6"/>
      <c r="V58" s="6"/>
      <c r="W58" s="6"/>
      <c r="X58" s="6"/>
      <c r="Y58" s="6"/>
      <c r="Z58" s="6"/>
      <c r="AA58" s="6"/>
      <c r="AB58" s="18"/>
    </row>
    <row r="59" spans="1:43" ht="15.75" thickBot="1">
      <c r="A59" s="5"/>
      <c r="B59" s="59" t="s">
        <v>362</v>
      </c>
      <c r="C59" s="55" t="str">
        <f t="shared" ref="C59:C61" si="4">VLOOKUP(AG63,AG4:AR95,$AE$1+1,FALSE)</f>
        <v>Höhe Innenraum</v>
      </c>
      <c r="D59" s="57"/>
      <c r="E59" s="57"/>
      <c r="F59" s="58" t="str">
        <f>IF(K7="","E","E = " &amp;P59)</f>
        <v>E</v>
      </c>
      <c r="G59" s="64" t="str">
        <f>IF(G57="","","D")</f>
        <v>D</v>
      </c>
      <c r="H59" s="65" t="str">
        <f>VLOOKUP(AG68,AG9:AR100,$AE$1+1,FALSE)</f>
        <v>Einbautiefe</v>
      </c>
      <c r="I59" s="65"/>
      <c r="J59" s="65"/>
      <c r="K59" s="70" t="str">
        <f>IF(G57="","","H - HL + 950")</f>
        <v>H - HL + 950</v>
      </c>
      <c r="L59" s="71" t="str">
        <f>IF(OR(K5="",K7=""),"",K5-P58+950)</f>
        <v/>
      </c>
      <c r="M59" s="59" t="s">
        <v>363</v>
      </c>
      <c r="N59" s="57"/>
      <c r="O59" s="70" t="s">
        <v>364</v>
      </c>
      <c r="P59" s="72" t="str">
        <f>IF(OR(K3="",K5="",P57=""),"",K5+P57)</f>
        <v/>
      </c>
      <c r="Q59" s="6"/>
      <c r="R59" s="6"/>
      <c r="S59" s="6"/>
      <c r="T59" s="6"/>
      <c r="U59" s="6"/>
      <c r="V59" s="6"/>
      <c r="W59" s="6"/>
      <c r="X59" s="6"/>
      <c r="Y59" s="6"/>
      <c r="Z59" s="6"/>
      <c r="AA59" s="55"/>
      <c r="AB59" s="73"/>
      <c r="AG59" t="str">
        <f t="shared" ref="AG59:AG80" si="5">VLOOKUP(AH59,AH59:AR151,$AE$1,FALSE)</f>
        <v>MASSE in mm</v>
      </c>
      <c r="AH59" t="s">
        <v>365</v>
      </c>
      <c r="AI59" t="s">
        <v>366</v>
      </c>
      <c r="AJ59" t="s">
        <v>367</v>
      </c>
      <c r="AK59" t="s">
        <v>368</v>
      </c>
      <c r="AL59" t="s">
        <v>369</v>
      </c>
      <c r="AM59" t="s">
        <v>370</v>
      </c>
      <c r="AN59" t="s">
        <v>371</v>
      </c>
      <c r="AO59" t="s">
        <v>372</v>
      </c>
      <c r="AP59" t="s">
        <v>373</v>
      </c>
    </row>
    <row r="60" spans="1:43" ht="15.75" thickBot="1">
      <c r="B60" s="59" t="s">
        <v>374</v>
      </c>
      <c r="C60" s="55" t="str">
        <f t="shared" si="4"/>
        <v>Freiraum über Sturz</v>
      </c>
      <c r="D60" s="57"/>
      <c r="E60" s="57"/>
      <c r="F60" s="58" t="str">
        <f>IF(K7="","F ","F = " &amp;K7)</f>
        <v xml:space="preserve">F </v>
      </c>
      <c r="G60" s="74" t="str">
        <f>IF(OR(L59="",L59&lt;=3000),VLOOKUP(AG77,AG6:AR97,$AE$1+1,FALSE),"")</f>
        <v>Aufhängepunkte, wenn</v>
      </c>
      <c r="H60" s="74"/>
      <c r="I60" s="74" t="str">
        <f>IF(G60="","","D&lt;=3000")</f>
        <v>D&lt;=3000</v>
      </c>
      <c r="J60" s="74"/>
      <c r="K60" s="74"/>
      <c r="L60" s="75"/>
      <c r="M60" s="147" t="str">
        <f>VLOOKUP(AG80,AG6:AR97,$AE$1+1,FALSE)</f>
        <v>Mitte Achse zum Sturz</v>
      </c>
      <c r="N60" s="148"/>
      <c r="O60" s="148"/>
      <c r="P60" s="149"/>
      <c r="Q60" s="6"/>
      <c r="R60" s="150" t="str">
        <f>VLOOKUP(AG83,AG2:AR94,$AE$1+1,FALSE)</f>
        <v>Aufgestellt:</v>
      </c>
      <c r="S60" s="151"/>
      <c r="T60" s="150" t="str">
        <f>VLOOKUP(AG84,AG2:AR94,$AE$1+1,FALSE)</f>
        <v>Bereinigt:</v>
      </c>
      <c r="U60" s="151"/>
      <c r="V60" s="150" t="str">
        <f>VLOOKUP(AG85,AG2:AR94,$AE$1+1,FALSE)</f>
        <v>Bereinigt am:</v>
      </c>
      <c r="W60" s="151"/>
      <c r="X60" s="150" t="str">
        <f>VLOOKUP(AG86,AG2:AR94,$AE$1+1,FALSE)</f>
        <v>Dateiname:</v>
      </c>
      <c r="Y60" s="151"/>
      <c r="Z60" s="76" t="str">
        <f>VLOOKUP(AG87,AG2:AR94,$AE$1+1,FALSE)</f>
        <v>Datum:</v>
      </c>
      <c r="AA60" s="59" t="str">
        <f>VLOOKUP(AG88,AG2:AR94,$AE$1+1,FALSE)</f>
        <v>Massst.:</v>
      </c>
      <c r="AB60" s="77" t="str">
        <f>VLOOKUP(AG89,AG2:AR94,$AE$1+1,FALSE)</f>
        <v>Format:</v>
      </c>
      <c r="AG60" t="str">
        <f t="shared" si="5"/>
        <v>Lichte Breite</v>
      </c>
      <c r="AH60" t="s">
        <v>24</v>
      </c>
      <c r="AI60" t="s">
        <v>25</v>
      </c>
      <c r="AJ60" t="s">
        <v>26</v>
      </c>
      <c r="AK60" t="s">
        <v>27</v>
      </c>
      <c r="AL60" t="s">
        <v>28</v>
      </c>
      <c r="AM60" t="s">
        <v>29</v>
      </c>
      <c r="AN60" t="s">
        <v>30</v>
      </c>
      <c r="AO60" t="s">
        <v>31</v>
      </c>
      <c r="AP60" t="s">
        <v>375</v>
      </c>
    </row>
    <row r="61" spans="1:43" ht="15.75" thickBot="1">
      <c r="B61" s="59" t="s">
        <v>376</v>
      </c>
      <c r="C61" s="55" t="str">
        <f t="shared" si="4"/>
        <v>Höhe über Montagefläche Loch</v>
      </c>
      <c r="D61" s="57"/>
      <c r="E61" s="57"/>
      <c r="F61" s="58" t="str">
        <f>IF(OR(K3="",K9=""),"J","J = "&amp;P64)</f>
        <v>J</v>
      </c>
      <c r="G61" s="59" t="str">
        <f>IF(G60="","","X")</f>
        <v>X</v>
      </c>
      <c r="H61" s="57" t="str">
        <f>IF(G60="","",VLOOKUP(AG78,AG6:AR97,$AE$1+1,FALSE))</f>
        <v>Aufhängepunkte</v>
      </c>
      <c r="I61" s="57"/>
      <c r="J61" s="57"/>
      <c r="K61" s="70" t="str">
        <f>IF(G60="","","H - HL")</f>
        <v>H - HL</v>
      </c>
      <c r="L61" s="58" t="str">
        <f>IF(G60="","",IF(OR(K3="",K5="",P57=""),"",K5-P58))</f>
        <v/>
      </c>
      <c r="M61" s="59" t="s">
        <v>377</v>
      </c>
      <c r="N61" s="57"/>
      <c r="O61" s="57"/>
      <c r="P61" s="58">
        <v>150</v>
      </c>
      <c r="Q61" s="6"/>
      <c r="R61" s="163" t="s">
        <v>378</v>
      </c>
      <c r="S61" s="151"/>
      <c r="T61" s="150" t="s">
        <v>379</v>
      </c>
      <c r="U61" s="151"/>
      <c r="V61" s="164">
        <v>45244</v>
      </c>
      <c r="W61" s="151"/>
      <c r="X61" s="150" t="s">
        <v>380</v>
      </c>
      <c r="Y61" s="151"/>
      <c r="Z61" s="78">
        <v>45244</v>
      </c>
      <c r="AA61" s="79" t="s">
        <v>381</v>
      </c>
      <c r="AB61" s="80" t="s">
        <v>382</v>
      </c>
      <c r="AG61" t="str">
        <f t="shared" si="5"/>
        <v>Lichte Höhe</v>
      </c>
      <c r="AH61" t="s">
        <v>33</v>
      </c>
      <c r="AI61" t="s">
        <v>34</v>
      </c>
      <c r="AJ61" t="s">
        <v>35</v>
      </c>
      <c r="AK61" t="s">
        <v>36</v>
      </c>
      <c r="AL61" t="s">
        <v>37</v>
      </c>
      <c r="AM61" t="s">
        <v>38</v>
      </c>
      <c r="AN61" t="s">
        <v>39</v>
      </c>
      <c r="AO61" t="s">
        <v>40</v>
      </c>
      <c r="AP61" t="s">
        <v>383</v>
      </c>
    </row>
    <row r="62" spans="1:43" ht="15.75" customHeight="1" thickBot="1">
      <c r="B62" s="59" t="s">
        <v>384</v>
      </c>
      <c r="C62" s="55" t="str">
        <f>VLOOKUP(AG66,AG7:AR98,$AE$1+1,FALSE)</f>
        <v>Freiraum LINKS</v>
      </c>
      <c r="D62" s="57"/>
      <c r="E62" s="57"/>
      <c r="F62" s="58" t="str">
        <f>IF(OR(K9=""),"L",IF(Obrázky!Z16="","L = 280",IF(OR(K9=""),"L ",Obrázky!$Z$16)))</f>
        <v>L</v>
      </c>
      <c r="G62" s="81" t="str">
        <f>IF(L59&gt;3000,VLOOKUP(AG77,AG6:AR97,$AE$1+1,FALSE),"")</f>
        <v>Aufhängepunkte, wenn</v>
      </c>
      <c r="H62" s="81"/>
      <c r="I62" s="74" t="str">
        <f>IF(G62="","","D&gt;3000")</f>
        <v>D&gt;3000</v>
      </c>
      <c r="J62" s="81"/>
      <c r="K62" s="81"/>
      <c r="L62" s="81"/>
      <c r="M62" s="59"/>
      <c r="N62" s="57"/>
      <c r="O62" s="57"/>
      <c r="P62" s="18"/>
      <c r="Q62" s="6"/>
      <c r="R62" s="165" t="s">
        <v>385</v>
      </c>
      <c r="S62" s="166"/>
      <c r="T62" s="166"/>
      <c r="U62" s="167"/>
      <c r="V62" s="171" t="str">
        <f>VLOOKUP(AG90,AG2:AR94,$AE$1+1,FALSE)</f>
        <v>EINBAUZEICHNUNG VORMONTIERTER HÖHERGEFÜHRTER BESCHLAG (HL-1T) HL &lt; 1200</v>
      </c>
      <c r="W62" s="172"/>
      <c r="X62" s="172"/>
      <c r="Y62" s="172"/>
      <c r="Z62" s="172"/>
      <c r="AA62" s="172"/>
      <c r="AB62" s="173"/>
      <c r="AG62" t="str">
        <f t="shared" si="5"/>
        <v>Höhe der Führung</v>
      </c>
      <c r="AH62" t="s">
        <v>386</v>
      </c>
      <c r="AI62" t="s">
        <v>386</v>
      </c>
      <c r="AJ62" t="s">
        <v>387</v>
      </c>
      <c r="AK62" t="s">
        <v>388</v>
      </c>
      <c r="AL62" t="s">
        <v>389</v>
      </c>
      <c r="AM62" t="s">
        <v>386</v>
      </c>
      <c r="AN62" t="s">
        <v>390</v>
      </c>
      <c r="AO62" t="s">
        <v>391</v>
      </c>
      <c r="AP62" t="s">
        <v>392</v>
      </c>
    </row>
    <row r="63" spans="1:43" ht="15.75" customHeight="1" thickBot="1">
      <c r="B63" s="59" t="s">
        <v>393</v>
      </c>
      <c r="C63" s="55" t="str">
        <f>VLOOKUP(AG67,AG8:AR99,$AE$1+1,FALSE)</f>
        <v>Freiraum RECHTS</v>
      </c>
      <c r="D63" s="57"/>
      <c r="E63" s="57"/>
      <c r="F63" s="58" t="str">
        <f>IF(OR(K9=""),"R",IF(Obrázky!Z17="","R = 280",IF(OR(K9=""),"R",Obrázky!$Z$17)))</f>
        <v>R</v>
      </c>
      <c r="G63" s="59" t="str">
        <f>IF(G62="","","X")</f>
        <v>X</v>
      </c>
      <c r="H63" s="57" t="str">
        <f>IF(G62="","",VLOOKUP(AG69,AG6:AR97,$AE$1+1,FALSE))</f>
        <v>1. Aufhängepunkt</v>
      </c>
      <c r="I63" s="6"/>
      <c r="J63" s="57"/>
      <c r="K63" s="70" t="str">
        <f>IF(G62="","","H - HL")</f>
        <v>H - HL</v>
      </c>
      <c r="L63" s="58" t="str">
        <f>IF(G62="","",IF(OR(K3="",K5="",P57=""),"",K5-P58))</f>
        <v/>
      </c>
      <c r="M63" s="59"/>
      <c r="N63" s="57"/>
      <c r="O63" s="57"/>
      <c r="P63" s="58"/>
      <c r="Q63" s="6"/>
      <c r="R63" s="168"/>
      <c r="S63" s="169"/>
      <c r="T63" s="169"/>
      <c r="U63" s="170"/>
      <c r="V63" s="174"/>
      <c r="W63" s="175"/>
      <c r="X63" s="175"/>
      <c r="Y63" s="175"/>
      <c r="Z63" s="175"/>
      <c r="AA63" s="175"/>
      <c r="AB63" s="176"/>
      <c r="AG63" t="str">
        <f t="shared" si="5"/>
        <v>Höhe Innenraum</v>
      </c>
      <c r="AH63" t="s">
        <v>394</v>
      </c>
      <c r="AI63" t="s">
        <v>395</v>
      </c>
      <c r="AJ63" t="s">
        <v>396</v>
      </c>
      <c r="AK63" t="s">
        <v>397</v>
      </c>
      <c r="AL63" t="s">
        <v>398</v>
      </c>
      <c r="AM63" t="s">
        <v>399</v>
      </c>
      <c r="AN63" t="s">
        <v>400</v>
      </c>
      <c r="AO63" t="s">
        <v>401</v>
      </c>
      <c r="AP63" t="s">
        <v>402</v>
      </c>
    </row>
    <row r="64" spans="1:43" ht="15.75" customHeight="1" thickBot="1">
      <c r="B64" s="59" t="s">
        <v>403</v>
      </c>
      <c r="C64" s="55" t="str">
        <f>VLOOKUP(AG68,AG9:AR100,$AE$1+1,FALSE)</f>
        <v>Einbautiefe</v>
      </c>
      <c r="D64" s="57"/>
      <c r="E64" s="57"/>
      <c r="F64" s="58" t="str">
        <f>IF(AND(K5="",K7=""),"D",IF(K9=AG100,"D = "&amp;L58,"D = "&amp;L59))</f>
        <v>D</v>
      </c>
      <c r="G64" s="59" t="str">
        <f>IF(G62="","","Y")</f>
        <v>Y</v>
      </c>
      <c r="H64" s="57" t="str">
        <f>IF(G62="","",VLOOKUP(AG70,AG6:AR97,$AE$1+1,FALSE))</f>
        <v>2. Aufhängepunkt</v>
      </c>
      <c r="I64" s="57"/>
      <c r="J64" s="57"/>
      <c r="K64" s="70" t="str">
        <f>IF(G62="","","1/2 X")</f>
        <v>1/2 X</v>
      </c>
      <c r="L64" s="58" t="str">
        <f>IF(G62="","",IF(OR(K3="",K5="",P57=""),"",L63/2))</f>
        <v/>
      </c>
      <c r="M64" s="68" t="s">
        <v>404</v>
      </c>
      <c r="N64" s="6"/>
      <c r="O64" s="82" t="s">
        <v>405</v>
      </c>
      <c r="P64" s="58" t="str">
        <f>IF(OR(K3="",K5="",P57=""),"",P58+220)</f>
        <v/>
      </c>
      <c r="Q64" s="6"/>
      <c r="R64" s="49"/>
      <c r="S64" s="6"/>
      <c r="T64" s="6"/>
      <c r="U64" s="6"/>
      <c r="V64" s="174"/>
      <c r="W64" s="175"/>
      <c r="X64" s="175"/>
      <c r="Y64" s="175"/>
      <c r="Z64" s="175"/>
      <c r="AA64" s="175"/>
      <c r="AB64" s="176"/>
      <c r="AG64" t="str">
        <f t="shared" si="5"/>
        <v>Freiraum über Sturz</v>
      </c>
      <c r="AH64" t="s">
        <v>406</v>
      </c>
      <c r="AI64" t="s">
        <v>407</v>
      </c>
      <c r="AJ64" t="s">
        <v>408</v>
      </c>
      <c r="AK64" t="s">
        <v>409</v>
      </c>
      <c r="AL64" t="s">
        <v>410</v>
      </c>
      <c r="AM64" t="s">
        <v>411</v>
      </c>
      <c r="AN64" t="s">
        <v>412</v>
      </c>
      <c r="AO64" t="s">
        <v>413</v>
      </c>
      <c r="AP64" t="s">
        <v>414</v>
      </c>
    </row>
    <row r="65" spans="2:75" ht="15.75" customHeight="1" thickBot="1">
      <c r="B65" s="64" t="s">
        <v>415</v>
      </c>
      <c r="C65" s="55" t="str">
        <f>VLOOKUP(AG69,AG13:AR102,$AE$1+1,FALSE)</f>
        <v>1. Aufhängepunkt</v>
      </c>
      <c r="D65" s="57"/>
      <c r="E65" s="57"/>
      <c r="F65" s="58" t="str">
        <f>IF(OR(K5="",K7=""),"X",IF(Obrázky!Z18&lt;=3000,"X = "&amp;L61,"X = "&amp;L63))</f>
        <v>X</v>
      </c>
      <c r="G65" s="57"/>
      <c r="H65" s="57"/>
      <c r="I65" s="57"/>
      <c r="J65" s="57"/>
      <c r="K65" s="57"/>
      <c r="L65" s="58"/>
      <c r="M65" s="59" t="s">
        <v>416</v>
      </c>
      <c r="N65" s="152" t="str">
        <f>IF(OR(Obrázky!Z22&gt;=9000,K11=AG113),350,AG95)</f>
        <v>NICHT ERFORDELICH</v>
      </c>
      <c r="O65" s="153"/>
      <c r="P65" s="154"/>
      <c r="Q65" s="6"/>
      <c r="R65" s="49"/>
      <c r="S65" s="6"/>
      <c r="T65" s="6"/>
      <c r="U65" s="6"/>
      <c r="V65" s="174"/>
      <c r="W65" s="175"/>
      <c r="X65" s="175"/>
      <c r="Y65" s="175"/>
      <c r="Z65" s="175"/>
      <c r="AA65" s="175"/>
      <c r="AB65" s="176"/>
      <c r="AG65" t="str">
        <f t="shared" si="5"/>
        <v>Höhe über Montagefläche Loch</v>
      </c>
      <c r="AH65" t="s">
        <v>417</v>
      </c>
      <c r="AI65" t="s">
        <v>418</v>
      </c>
      <c r="AJ65" t="s">
        <v>419</v>
      </c>
      <c r="AK65" t="s">
        <v>420</v>
      </c>
      <c r="AL65" t="s">
        <v>421</v>
      </c>
      <c r="AM65" t="s">
        <v>422</v>
      </c>
      <c r="AN65" t="s">
        <v>423</v>
      </c>
      <c r="AO65" t="s">
        <v>424</v>
      </c>
      <c r="AP65" t="s">
        <v>425</v>
      </c>
    </row>
    <row r="66" spans="2:75" ht="15.75" customHeight="1" thickBot="1">
      <c r="B66" s="83" t="s">
        <v>426</v>
      </c>
      <c r="C66" s="55" t="str">
        <f>VLOOKUP(AG70,AG14:AR103,$AE$1+1,FALSE)</f>
        <v>2. Aufhängepunkt</v>
      </c>
      <c r="D66" s="57"/>
      <c r="E66" s="57"/>
      <c r="F66" s="58" t="str">
        <f>IF(OR(K5="",K7=""),"Y",IF(Obrázky!Z18&lt;=3000,"Y = 0","Y = "&amp;L64))</f>
        <v>Y</v>
      </c>
      <c r="G66" s="57"/>
      <c r="H66" s="57"/>
      <c r="I66" s="57"/>
      <c r="J66" s="57"/>
      <c r="K66" s="55"/>
      <c r="L66" s="73"/>
      <c r="M66" s="6"/>
      <c r="N66" s="6"/>
      <c r="O66" s="6"/>
      <c r="P66" s="18"/>
      <c r="Q66" s="6"/>
      <c r="R66" s="49"/>
      <c r="S66" s="6"/>
      <c r="T66" s="6"/>
      <c r="U66" s="6"/>
      <c r="V66" s="177"/>
      <c r="W66" s="178"/>
      <c r="X66" s="178"/>
      <c r="Y66" s="178"/>
      <c r="Z66" s="178"/>
      <c r="AA66" s="178"/>
      <c r="AB66" s="179"/>
      <c r="AG66" t="str">
        <f t="shared" si="5"/>
        <v>Freiraum LINKS</v>
      </c>
      <c r="AH66" t="s">
        <v>427</v>
      </c>
      <c r="AI66" t="s">
        <v>428</v>
      </c>
      <c r="AJ66" t="s">
        <v>429</v>
      </c>
      <c r="AK66" t="s">
        <v>430</v>
      </c>
      <c r="AL66" t="s">
        <v>431</v>
      </c>
      <c r="AM66" t="s">
        <v>432</v>
      </c>
      <c r="AN66" t="s">
        <v>433</v>
      </c>
      <c r="AO66" t="s">
        <v>434</v>
      </c>
      <c r="AP66" t="s">
        <v>435</v>
      </c>
    </row>
    <row r="67" spans="2:75" ht="15.75" thickBot="1">
      <c r="B67" s="84"/>
      <c r="F67" s="71"/>
      <c r="L67" s="71"/>
      <c r="M67" s="6"/>
      <c r="N67" s="6"/>
      <c r="O67" s="6"/>
      <c r="P67" s="18"/>
      <c r="Q67" s="6"/>
      <c r="R67" s="49"/>
      <c r="S67" s="6"/>
      <c r="T67" s="6"/>
      <c r="U67" s="6"/>
      <c r="V67" s="155" t="str">
        <f>AG12</f>
        <v>HÖHERGEFÜHRTER BESCHLAG (HL-1T)</v>
      </c>
      <c r="W67" s="156"/>
      <c r="X67" s="156"/>
      <c r="Y67" s="157"/>
      <c r="Z67" s="59" t="str">
        <f>VLOOKUP(AG93,AG2:AR94,$AE$1+1,FALSE)</f>
        <v>Kode:</v>
      </c>
      <c r="AA67" s="150" t="str">
        <f>VLOOKUP(AG94,AG2:AR94,$AE$1+1,FALSE)</f>
        <v>Version:</v>
      </c>
      <c r="AB67" s="151"/>
      <c r="AG67" t="str">
        <f t="shared" si="5"/>
        <v>Freiraum RECHTS</v>
      </c>
      <c r="AH67" t="s">
        <v>436</v>
      </c>
      <c r="AI67" t="s">
        <v>437</v>
      </c>
      <c r="AJ67" t="s">
        <v>438</v>
      </c>
      <c r="AK67" t="s">
        <v>439</v>
      </c>
      <c r="AL67" t="s">
        <v>440</v>
      </c>
      <c r="AM67" t="s">
        <v>441</v>
      </c>
      <c r="AN67" t="s">
        <v>442</v>
      </c>
      <c r="AO67" t="s">
        <v>443</v>
      </c>
      <c r="AP67" t="s">
        <v>444</v>
      </c>
    </row>
    <row r="68" spans="2:75" ht="15.75" thickBot="1">
      <c r="B68" s="85"/>
      <c r="C68" s="57"/>
      <c r="D68" s="57"/>
      <c r="E68" s="57"/>
      <c r="F68" s="58"/>
      <c r="G68" s="86"/>
      <c r="H68" s="65"/>
      <c r="I68" s="65"/>
      <c r="J68" s="65"/>
      <c r="K68" s="65"/>
      <c r="L68" s="71"/>
      <c r="M68" s="55"/>
      <c r="N68" s="55"/>
      <c r="O68" s="55"/>
      <c r="P68" s="73"/>
      <c r="Q68" s="55"/>
      <c r="R68" s="87"/>
      <c r="S68" s="55"/>
      <c r="T68" s="55"/>
      <c r="U68" s="55"/>
      <c r="V68" s="158"/>
      <c r="W68" s="159"/>
      <c r="X68" s="159"/>
      <c r="Y68" s="160"/>
      <c r="Z68" s="88" t="s">
        <v>445</v>
      </c>
      <c r="AA68" s="161">
        <v>2346</v>
      </c>
      <c r="AB68" s="162"/>
      <c r="AG68" t="str">
        <f t="shared" si="5"/>
        <v>Einbautiefe</v>
      </c>
      <c r="AH68" t="s">
        <v>446</v>
      </c>
      <c r="AI68" t="s">
        <v>447</v>
      </c>
      <c r="AJ68" t="s">
        <v>448</v>
      </c>
      <c r="AK68" t="s">
        <v>449</v>
      </c>
      <c r="AL68" t="s">
        <v>450</v>
      </c>
      <c r="AM68" t="s">
        <v>451</v>
      </c>
      <c r="AN68" t="s">
        <v>452</v>
      </c>
      <c r="AO68" t="s">
        <v>453</v>
      </c>
      <c r="AP68" t="s">
        <v>454</v>
      </c>
    </row>
    <row r="69" spans="2:75">
      <c r="V69" s="4"/>
      <c r="W69" s="4"/>
      <c r="X69" s="4"/>
      <c r="Y69" s="4"/>
      <c r="AG69" t="str">
        <f t="shared" si="5"/>
        <v>1. Aufhängepunkt</v>
      </c>
      <c r="AH69" t="s">
        <v>455</v>
      </c>
      <c r="AI69" t="s">
        <v>456</v>
      </c>
      <c r="AJ69" t="s">
        <v>457</v>
      </c>
      <c r="AK69" t="s">
        <v>458</v>
      </c>
      <c r="AL69" t="s">
        <v>459</v>
      </c>
      <c r="AM69" t="s">
        <v>460</v>
      </c>
      <c r="AN69" t="s">
        <v>461</v>
      </c>
      <c r="AO69" t="s">
        <v>462</v>
      </c>
      <c r="AP69" t="s">
        <v>463</v>
      </c>
    </row>
    <row r="70" spans="2:75">
      <c r="V70" s="4"/>
      <c r="W70" s="4"/>
      <c r="X70" s="4"/>
      <c r="Y70" s="4"/>
      <c r="AG70" t="str">
        <f t="shared" si="5"/>
        <v>2. Aufhängepunkt</v>
      </c>
      <c r="AH70" t="s">
        <v>464</v>
      </c>
      <c r="AI70" t="s">
        <v>465</v>
      </c>
      <c r="AJ70" t="s">
        <v>466</v>
      </c>
      <c r="AK70" t="s">
        <v>467</v>
      </c>
      <c r="AL70" t="s">
        <v>468</v>
      </c>
      <c r="AM70" t="s">
        <v>469</v>
      </c>
      <c r="AN70" t="s">
        <v>470</v>
      </c>
      <c r="AO70" t="s">
        <v>471</v>
      </c>
      <c r="AP70" t="s">
        <v>472</v>
      </c>
    </row>
    <row r="71" spans="2:75">
      <c r="AG71" t="str">
        <f t="shared" si="5"/>
        <v>Freiplatz auf der Mountageplatz</v>
      </c>
      <c r="AH71" t="s">
        <v>406</v>
      </c>
      <c r="AI71" t="s">
        <v>473</v>
      </c>
      <c r="AJ71" s="22" t="s">
        <v>474</v>
      </c>
      <c r="AK71" t="s">
        <v>475</v>
      </c>
      <c r="AL71" t="s">
        <v>476</v>
      </c>
      <c r="AM71" t="s">
        <v>477</v>
      </c>
      <c r="AN71" t="s">
        <v>478</v>
      </c>
      <c r="AO71" t="s">
        <v>479</v>
      </c>
      <c r="AP71" t="s">
        <v>480</v>
      </c>
    </row>
    <row r="72" spans="2:75">
      <c r="G72" s="4"/>
      <c r="AG72" t="str">
        <f t="shared" si="5"/>
        <v>Handbedienung</v>
      </c>
      <c r="AH72" s="22" t="s">
        <v>481</v>
      </c>
      <c r="AI72" s="22" t="s">
        <v>482</v>
      </c>
      <c r="AJ72" t="s">
        <v>483</v>
      </c>
      <c r="AK72" s="22" t="s">
        <v>484</v>
      </c>
      <c r="AL72" s="22" t="s">
        <v>485</v>
      </c>
      <c r="AM72" s="22" t="s">
        <v>486</v>
      </c>
      <c r="AN72" s="22" t="s">
        <v>487</v>
      </c>
      <c r="AO72" s="22" t="s">
        <v>488</v>
      </c>
      <c r="AP72" s="22" t="s">
        <v>489</v>
      </c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</row>
    <row r="73" spans="2:75">
      <c r="AG73" t="str">
        <f t="shared" si="5"/>
        <v>Beide Seiten</v>
      </c>
      <c r="AH73" t="s">
        <v>490</v>
      </c>
      <c r="AI73" t="s">
        <v>491</v>
      </c>
      <c r="AJ73" t="s">
        <v>492</v>
      </c>
      <c r="AK73" t="s">
        <v>493</v>
      </c>
      <c r="AL73" t="s">
        <v>494</v>
      </c>
      <c r="AM73" t="s">
        <v>495</v>
      </c>
      <c r="AN73" t="s">
        <v>496</v>
      </c>
      <c r="AO73" t="s">
        <v>497</v>
      </c>
      <c r="AP73" t="s">
        <v>498</v>
      </c>
      <c r="BT73" s="22"/>
      <c r="BU73" s="22"/>
      <c r="BV73" s="22"/>
      <c r="BW73" s="22"/>
    </row>
    <row r="74" spans="2:75">
      <c r="AG74" t="str">
        <f t="shared" si="5"/>
        <v>Elektrisch- oder Haspelkettenbedient</v>
      </c>
      <c r="AH74" t="s">
        <v>499</v>
      </c>
      <c r="AI74" t="s">
        <v>500</v>
      </c>
      <c r="AJ74" t="s">
        <v>501</v>
      </c>
      <c r="AK74" t="s">
        <v>502</v>
      </c>
      <c r="AL74" t="s">
        <v>503</v>
      </c>
      <c r="AM74" t="s">
        <v>504</v>
      </c>
      <c r="AN74" t="s">
        <v>505</v>
      </c>
      <c r="AO74" t="s">
        <v>506</v>
      </c>
      <c r="AP74" t="s">
        <v>507</v>
      </c>
    </row>
    <row r="75" spans="2:75">
      <c r="AG75" t="str">
        <f t="shared" si="5"/>
        <v>Motor-oder Kettenseite</v>
      </c>
      <c r="AH75" t="s">
        <v>508</v>
      </c>
      <c r="AI75" t="s">
        <v>509</v>
      </c>
      <c r="AJ75" t="s">
        <v>510</v>
      </c>
      <c r="AK75" t="s">
        <v>511</v>
      </c>
      <c r="AL75" t="s">
        <v>512</v>
      </c>
      <c r="AM75" t="s">
        <v>513</v>
      </c>
      <c r="AN75" t="s">
        <v>514</v>
      </c>
      <c r="AO75" t="s">
        <v>515</v>
      </c>
      <c r="AP75" t="s">
        <v>516</v>
      </c>
    </row>
    <row r="76" spans="2:75">
      <c r="AG76" t="str">
        <f t="shared" si="5"/>
        <v>Einbautiefe</v>
      </c>
      <c r="AH76" t="s">
        <v>446</v>
      </c>
      <c r="AI76" t="s">
        <v>447</v>
      </c>
      <c r="AJ76" t="s">
        <v>448</v>
      </c>
      <c r="AK76" t="s">
        <v>517</v>
      </c>
      <c r="AL76" t="s">
        <v>450</v>
      </c>
      <c r="AM76" t="s">
        <v>451</v>
      </c>
      <c r="AN76" t="s">
        <v>518</v>
      </c>
      <c r="AO76" t="s">
        <v>519</v>
      </c>
      <c r="AP76" t="s">
        <v>520</v>
      </c>
    </row>
    <row r="77" spans="2:75">
      <c r="AG77" t="str">
        <f t="shared" si="5"/>
        <v>Aufhängepunkte, wenn</v>
      </c>
      <c r="AH77" t="s">
        <v>521</v>
      </c>
      <c r="AI77" t="s">
        <v>522</v>
      </c>
      <c r="AJ77" t="s">
        <v>523</v>
      </c>
      <c r="AK77" t="s">
        <v>524</v>
      </c>
      <c r="AL77" t="s">
        <v>525</v>
      </c>
      <c r="AM77" t="s">
        <v>526</v>
      </c>
      <c r="AN77" t="s">
        <v>452</v>
      </c>
      <c r="AO77" t="s">
        <v>527</v>
      </c>
      <c r="AP77" t="s">
        <v>454</v>
      </c>
    </row>
    <row r="78" spans="2:75">
      <c r="AG78" t="str">
        <f t="shared" si="5"/>
        <v>Aufhängepunkte</v>
      </c>
      <c r="AH78" t="s">
        <v>528</v>
      </c>
      <c r="AI78" t="s">
        <v>529</v>
      </c>
      <c r="AJ78" t="s">
        <v>530</v>
      </c>
      <c r="AK78" t="s">
        <v>531</v>
      </c>
      <c r="AL78" t="s">
        <v>532</v>
      </c>
      <c r="AM78" t="s">
        <v>533</v>
      </c>
      <c r="AN78" t="s">
        <v>534</v>
      </c>
      <c r="AO78" t="s">
        <v>535</v>
      </c>
      <c r="AP78" t="s">
        <v>536</v>
      </c>
    </row>
    <row r="79" spans="2:75">
      <c r="AG79" t="str">
        <f t="shared" si="5"/>
        <v>Freiraum über Sturz</v>
      </c>
      <c r="AH79" t="s">
        <v>406</v>
      </c>
      <c r="AI79" t="s">
        <v>407</v>
      </c>
      <c r="AJ79" t="s">
        <v>408</v>
      </c>
      <c r="AK79" t="s">
        <v>537</v>
      </c>
      <c r="AL79" t="s">
        <v>410</v>
      </c>
      <c r="AM79" t="s">
        <v>411</v>
      </c>
      <c r="AN79" t="s">
        <v>538</v>
      </c>
      <c r="AO79" t="s">
        <v>539</v>
      </c>
      <c r="AP79" t="s">
        <v>540</v>
      </c>
    </row>
    <row r="80" spans="2:75">
      <c r="P80" s="89"/>
      <c r="Q80" s="89"/>
      <c r="AG80" t="str">
        <f t="shared" si="5"/>
        <v>Mitte Achse zum Sturz</v>
      </c>
      <c r="AH80" t="s">
        <v>541</v>
      </c>
      <c r="AI80" t="s">
        <v>542</v>
      </c>
      <c r="AJ80" t="s">
        <v>543</v>
      </c>
      <c r="AK80" t="s">
        <v>544</v>
      </c>
      <c r="AL80" t="s">
        <v>545</v>
      </c>
      <c r="AM80" t="s">
        <v>546</v>
      </c>
      <c r="AN80" t="s">
        <v>547</v>
      </c>
      <c r="AO80" t="s">
        <v>548</v>
      </c>
      <c r="AP80" t="s">
        <v>414</v>
      </c>
    </row>
    <row r="81" spans="33:75">
      <c r="AN81" t="s">
        <v>549</v>
      </c>
      <c r="AO81" t="s">
        <v>550</v>
      </c>
      <c r="AP81" t="s">
        <v>551</v>
      </c>
    </row>
    <row r="83" spans="33:75">
      <c r="AG83" t="str">
        <f t="shared" ref="AG83:AG95" si="6">VLOOKUP(AH83,AH83:AR175,$AE$1,FALSE)</f>
        <v>Aufgestellt:</v>
      </c>
      <c r="AH83" t="s">
        <v>552</v>
      </c>
      <c r="AI83" t="s">
        <v>553</v>
      </c>
      <c r="AJ83" t="s">
        <v>554</v>
      </c>
      <c r="AK83" t="s">
        <v>555</v>
      </c>
      <c r="AL83" t="s">
        <v>556</v>
      </c>
      <c r="AM83" t="s">
        <v>557</v>
      </c>
      <c r="AN83" t="s">
        <v>558</v>
      </c>
      <c r="AO83" t="s">
        <v>559</v>
      </c>
      <c r="AP83" t="s">
        <v>560</v>
      </c>
    </row>
    <row r="84" spans="33:75">
      <c r="AG84" t="str">
        <f t="shared" si="6"/>
        <v>Bereinigt:</v>
      </c>
      <c r="AH84" t="s">
        <v>561</v>
      </c>
      <c r="AI84" t="s">
        <v>562</v>
      </c>
      <c r="AJ84" t="s">
        <v>563</v>
      </c>
      <c r="AK84" t="s">
        <v>564</v>
      </c>
      <c r="AL84" t="s">
        <v>565</v>
      </c>
      <c r="AM84" t="s">
        <v>566</v>
      </c>
      <c r="AN84" t="s">
        <v>567</v>
      </c>
      <c r="AO84" t="s">
        <v>568</v>
      </c>
      <c r="AP84" t="s">
        <v>569</v>
      </c>
    </row>
    <row r="85" spans="33:75">
      <c r="AG85" t="str">
        <f t="shared" si="6"/>
        <v>Bereinigt am:</v>
      </c>
      <c r="AH85" t="s">
        <v>570</v>
      </c>
      <c r="AI85" t="s">
        <v>571</v>
      </c>
      <c r="AJ85" t="s">
        <v>572</v>
      </c>
      <c r="AK85" t="s">
        <v>573</v>
      </c>
      <c r="AL85" t="s">
        <v>574</v>
      </c>
      <c r="AM85" t="s">
        <v>575</v>
      </c>
      <c r="AN85" t="s">
        <v>576</v>
      </c>
      <c r="AO85" t="s">
        <v>577</v>
      </c>
      <c r="AP85" t="s">
        <v>578</v>
      </c>
    </row>
    <row r="86" spans="33:75">
      <c r="AG86" t="str">
        <f t="shared" si="6"/>
        <v>Dateiname:</v>
      </c>
      <c r="AH86" t="s">
        <v>579</v>
      </c>
      <c r="AI86" t="s">
        <v>580</v>
      </c>
      <c r="AJ86" t="s">
        <v>581</v>
      </c>
      <c r="AK86" t="s">
        <v>582</v>
      </c>
      <c r="AL86" t="s">
        <v>583</v>
      </c>
      <c r="AM86" t="s">
        <v>584</v>
      </c>
      <c r="AN86" t="s">
        <v>585</v>
      </c>
      <c r="AO86" t="s">
        <v>586</v>
      </c>
      <c r="AP86" t="s">
        <v>587</v>
      </c>
    </row>
    <row r="87" spans="33:75">
      <c r="AG87" t="str">
        <f t="shared" si="6"/>
        <v>Datum:</v>
      </c>
      <c r="AH87" t="s">
        <v>588</v>
      </c>
      <c r="AI87" t="s">
        <v>589</v>
      </c>
      <c r="AJ87" t="s">
        <v>588</v>
      </c>
      <c r="AK87" t="s">
        <v>590</v>
      </c>
      <c r="AL87" t="s">
        <v>591</v>
      </c>
      <c r="AM87" t="s">
        <v>588</v>
      </c>
      <c r="AN87" t="s">
        <v>592</v>
      </c>
      <c r="AO87" t="s">
        <v>593</v>
      </c>
      <c r="AP87" t="s">
        <v>594</v>
      </c>
    </row>
    <row r="88" spans="33:75">
      <c r="AG88" t="str">
        <f t="shared" si="6"/>
        <v>Massst.:</v>
      </c>
      <c r="AH88" t="s">
        <v>595</v>
      </c>
      <c r="AI88" t="s">
        <v>596</v>
      </c>
      <c r="AJ88" t="s">
        <v>597</v>
      </c>
      <c r="AK88" t="s">
        <v>598</v>
      </c>
      <c r="AL88" t="s">
        <v>599</v>
      </c>
      <c r="AM88" t="s">
        <v>600</v>
      </c>
      <c r="AN88" t="s">
        <v>601</v>
      </c>
      <c r="AO88" t="s">
        <v>602</v>
      </c>
      <c r="AP88" t="s">
        <v>603</v>
      </c>
    </row>
    <row r="89" spans="33:75">
      <c r="AG89" t="str">
        <f t="shared" si="6"/>
        <v>Format:</v>
      </c>
      <c r="AH89" t="s">
        <v>604</v>
      </c>
      <c r="AI89" t="s">
        <v>605</v>
      </c>
      <c r="AJ89" t="s">
        <v>606</v>
      </c>
      <c r="AK89" t="s">
        <v>606</v>
      </c>
      <c r="AL89" t="s">
        <v>607</v>
      </c>
      <c r="AM89" t="s">
        <v>605</v>
      </c>
      <c r="AN89" t="s">
        <v>608</v>
      </c>
      <c r="AO89" t="s">
        <v>609</v>
      </c>
      <c r="AP89" t="s">
        <v>610</v>
      </c>
    </row>
    <row r="90" spans="33:75">
      <c r="AG90" t="str">
        <f t="shared" si="6"/>
        <v>EINBAUZEICHNUNG VORMONTIERTER HÖHERGEFÜHRTER BESCHLAG (HL-1T) HL &lt; 1200</v>
      </c>
      <c r="AH90" t="s">
        <v>611</v>
      </c>
      <c r="AI90" t="s">
        <v>612</v>
      </c>
      <c r="AJ90" s="22" t="s">
        <v>613</v>
      </c>
      <c r="AK90" t="s">
        <v>614</v>
      </c>
      <c r="AL90" t="s">
        <v>615</v>
      </c>
      <c r="AM90" t="s">
        <v>616</v>
      </c>
      <c r="AN90" t="s">
        <v>617</v>
      </c>
      <c r="AO90" t="s">
        <v>618</v>
      </c>
      <c r="AP90" t="s">
        <v>619</v>
      </c>
    </row>
    <row r="91" spans="33:75">
      <c r="AG91" t="str">
        <f t="shared" si="6"/>
        <v xml:space="preserve"> Federn oberhalb des Sturzes </v>
      </c>
      <c r="AH91" s="22" t="s">
        <v>620</v>
      </c>
      <c r="AI91" s="22" t="s">
        <v>621</v>
      </c>
      <c r="AJ91" t="s">
        <v>622</v>
      </c>
      <c r="AK91" s="22" t="s">
        <v>623</v>
      </c>
      <c r="AL91" s="22" t="s">
        <v>94</v>
      </c>
      <c r="AM91" s="22" t="s">
        <v>95</v>
      </c>
      <c r="AN91" s="22" t="s">
        <v>624</v>
      </c>
      <c r="AO91" s="22" t="s">
        <v>97</v>
      </c>
      <c r="AP91" s="22" t="s">
        <v>98</v>
      </c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</row>
    <row r="92" spans="33:75">
      <c r="AG92" t="str">
        <f t="shared" si="6"/>
        <v>VERTIKALER BESCHLAG (VL-T)</v>
      </c>
      <c r="AH92" t="s">
        <v>625</v>
      </c>
      <c r="AI92" t="s">
        <v>626</v>
      </c>
      <c r="AJ92" t="s">
        <v>627</v>
      </c>
      <c r="AK92" t="s">
        <v>628</v>
      </c>
      <c r="AL92" t="s">
        <v>629</v>
      </c>
      <c r="AM92" t="s">
        <v>630</v>
      </c>
      <c r="BT92" s="22"/>
      <c r="BU92" s="22"/>
      <c r="BV92" s="22"/>
      <c r="BW92" s="22"/>
    </row>
    <row r="93" spans="33:75">
      <c r="AG93" t="str">
        <f t="shared" si="6"/>
        <v>Kode:</v>
      </c>
      <c r="AH93" t="s">
        <v>631</v>
      </c>
      <c r="AI93" t="s">
        <v>632</v>
      </c>
      <c r="AJ93" t="s">
        <v>633</v>
      </c>
      <c r="AK93" t="s">
        <v>634</v>
      </c>
      <c r="AL93" t="s">
        <v>635</v>
      </c>
      <c r="AM93" t="s">
        <v>636</v>
      </c>
      <c r="AN93" t="s">
        <v>637</v>
      </c>
      <c r="AO93" t="s">
        <v>638</v>
      </c>
      <c r="AP93" t="s">
        <v>639</v>
      </c>
    </row>
    <row r="94" spans="33:75">
      <c r="AG94" t="str">
        <f t="shared" si="6"/>
        <v>Version:</v>
      </c>
      <c r="AH94" t="s">
        <v>640</v>
      </c>
      <c r="AI94" t="s">
        <v>641</v>
      </c>
      <c r="AJ94" t="s">
        <v>641</v>
      </c>
      <c r="AK94" t="s">
        <v>642</v>
      </c>
      <c r="AL94" t="s">
        <v>643</v>
      </c>
      <c r="AM94" t="s">
        <v>644</v>
      </c>
      <c r="AN94" t="s">
        <v>645</v>
      </c>
      <c r="AO94" t="s">
        <v>646</v>
      </c>
      <c r="AP94" t="s">
        <v>647</v>
      </c>
    </row>
    <row r="95" spans="33:75">
      <c r="AG95" t="str">
        <f t="shared" si="6"/>
        <v>NICHT ERFORDELICH</v>
      </c>
      <c r="AH95" t="s">
        <v>648</v>
      </c>
      <c r="AI95" t="s">
        <v>649</v>
      </c>
      <c r="AJ95" s="22" t="s">
        <v>650</v>
      </c>
      <c r="AK95" t="s">
        <v>651</v>
      </c>
      <c r="AL95" t="s">
        <v>652</v>
      </c>
      <c r="AM95" t="s">
        <v>653</v>
      </c>
      <c r="AN95" t="s">
        <v>654</v>
      </c>
      <c r="AO95" t="s">
        <v>655</v>
      </c>
      <c r="AP95" t="s">
        <v>656</v>
      </c>
    </row>
    <row r="97" spans="33:52">
      <c r="AG97" t="str">
        <f>VLOOKUP(AH97,AH97:AR189,$AE$1,FALSE)</f>
        <v>Fülen Sie bitte markierte Felder!</v>
      </c>
      <c r="AH97" t="s">
        <v>657</v>
      </c>
      <c r="AI97" t="s">
        <v>658</v>
      </c>
      <c r="AJ97" t="s">
        <v>659</v>
      </c>
      <c r="AK97" t="s">
        <v>660</v>
      </c>
      <c r="AL97" t="s">
        <v>661</v>
      </c>
      <c r="AM97" t="s">
        <v>662</v>
      </c>
      <c r="AN97" t="s">
        <v>663</v>
      </c>
      <c r="AO97" t="s">
        <v>664</v>
      </c>
      <c r="AP97" t="s">
        <v>665</v>
      </c>
    </row>
    <row r="99" spans="33:52">
      <c r="AG99" t="str">
        <f>VLOOKUP(AH99,AH99:AR191,$AE$1,FALSE)</f>
        <v>Bedienung</v>
      </c>
      <c r="AH99" t="s">
        <v>666</v>
      </c>
      <c r="AI99" t="s">
        <v>667</v>
      </c>
      <c r="AJ99" t="s">
        <v>668</v>
      </c>
      <c r="AK99" t="s">
        <v>669</v>
      </c>
      <c r="AL99" t="s">
        <v>670</v>
      </c>
      <c r="AM99" t="s">
        <v>671</v>
      </c>
      <c r="AN99" t="s">
        <v>672</v>
      </c>
      <c r="AO99" t="s">
        <v>673</v>
      </c>
      <c r="AP99" t="s">
        <v>674</v>
      </c>
    </row>
    <row r="100" spans="33:52">
      <c r="AG100" t="str">
        <f>VLOOKUP(AH100,AH100:AR192,$AE$1,FALSE)</f>
        <v>hand</v>
      </c>
      <c r="AH100" t="s">
        <v>675</v>
      </c>
      <c r="AI100" t="s">
        <v>676</v>
      </c>
      <c r="AJ100" t="s">
        <v>677</v>
      </c>
      <c r="AK100" t="s">
        <v>678</v>
      </c>
      <c r="AL100" t="s">
        <v>679</v>
      </c>
      <c r="AM100" t="s">
        <v>677</v>
      </c>
      <c r="AN100" t="s">
        <v>680</v>
      </c>
      <c r="AO100" t="s">
        <v>681</v>
      </c>
      <c r="AP100" s="90" t="s">
        <v>682</v>
      </c>
    </row>
    <row r="101" spans="33:52" ht="14.25" customHeight="1">
      <c r="AG101" t="str">
        <f>VLOOKUP(AH101,AH101:AR193,$AE$1,FALSE)</f>
        <v>elektrisch</v>
      </c>
      <c r="AH101" t="s">
        <v>683</v>
      </c>
      <c r="AI101" t="s">
        <v>684</v>
      </c>
      <c r="AJ101" t="s">
        <v>685</v>
      </c>
      <c r="AK101" t="s">
        <v>686</v>
      </c>
      <c r="AL101" t="s">
        <v>687</v>
      </c>
      <c r="AM101" t="s">
        <v>685</v>
      </c>
      <c r="AN101" t="s">
        <v>688</v>
      </c>
      <c r="AO101" t="s">
        <v>689</v>
      </c>
      <c r="AP101" s="90" t="s">
        <v>516</v>
      </c>
    </row>
    <row r="102" spans="33:52" ht="27.75" customHeight="1">
      <c r="AG102" t="str">
        <f t="shared" ref="AG102:AQ102" si="7">VLOOKUP(AH102,AH102:AR197,$AE$1,FALSE)</f>
        <v>Haspelkette - links</v>
      </c>
      <c r="AH102" t="s">
        <v>690</v>
      </c>
      <c r="AI102" t="s">
        <v>691</v>
      </c>
      <c r="AJ102" t="s">
        <v>692</v>
      </c>
      <c r="AK102" t="s">
        <v>693</v>
      </c>
      <c r="AL102" t="s">
        <v>694</v>
      </c>
      <c r="AM102" t="s">
        <v>695</v>
      </c>
      <c r="AN102" t="s">
        <v>696</v>
      </c>
      <c r="AO102" t="s">
        <v>697</v>
      </c>
      <c r="AP102" s="91" t="s">
        <v>698</v>
      </c>
      <c r="AQ102" t="str">
        <f t="shared" si="7"/>
        <v>Haspelkette - links</v>
      </c>
      <c r="AR102" t="s">
        <v>690</v>
      </c>
      <c r="AS102" t="s">
        <v>691</v>
      </c>
      <c r="AT102" t="s">
        <v>692</v>
      </c>
      <c r="AU102" t="s">
        <v>693</v>
      </c>
      <c r="AV102" t="s">
        <v>694</v>
      </c>
      <c r="AW102" t="s">
        <v>695</v>
      </c>
      <c r="AX102" t="s">
        <v>696</v>
      </c>
      <c r="AY102" t="s">
        <v>697</v>
      </c>
      <c r="AZ102" s="91" t="s">
        <v>698</v>
      </c>
    </row>
    <row r="103" spans="33:52">
      <c r="AG103" t="str">
        <f>VLOOKUP(AH103,AH103:AR198,$AE$1,FALSE)</f>
        <v>Haspelkette - rechts</v>
      </c>
      <c r="AH103" t="s">
        <v>699</v>
      </c>
      <c r="AI103" t="s">
        <v>700</v>
      </c>
      <c r="AJ103" t="s">
        <v>701</v>
      </c>
      <c r="AK103" s="92" t="s">
        <v>702</v>
      </c>
      <c r="AL103" t="s">
        <v>703</v>
      </c>
      <c r="AM103" t="s">
        <v>704</v>
      </c>
      <c r="AN103" t="s">
        <v>705</v>
      </c>
      <c r="AO103" t="s">
        <v>706</v>
      </c>
      <c r="AP103" t="s">
        <v>707</v>
      </c>
      <c r="AQ103" t="str">
        <f>VLOOKUP(AR103,AR103:BB198,$AE$1,FALSE)</f>
        <v>Haspelkette - rechts</v>
      </c>
      <c r="AR103" t="s">
        <v>699</v>
      </c>
      <c r="AS103" t="s">
        <v>700</v>
      </c>
      <c r="AT103" t="s">
        <v>701</v>
      </c>
      <c r="AU103" s="92" t="s">
        <v>702</v>
      </c>
      <c r="AV103" t="s">
        <v>703</v>
      </c>
      <c r="AW103" t="s">
        <v>704</v>
      </c>
      <c r="AX103" t="s">
        <v>705</v>
      </c>
      <c r="AY103" t="s">
        <v>706</v>
      </c>
      <c r="AZ103" t="s">
        <v>707</v>
      </c>
    </row>
    <row r="104" spans="33:52">
      <c r="AG104" t="str">
        <f>VLOOKUP(AH104,AH104:AR196,$AE$1,FALSE)</f>
        <v>Antriebesposition</v>
      </c>
      <c r="AH104" t="s">
        <v>708</v>
      </c>
      <c r="AI104" t="s">
        <v>709</v>
      </c>
      <c r="AJ104" t="s">
        <v>710</v>
      </c>
      <c r="AK104" t="s">
        <v>711</v>
      </c>
      <c r="AL104" t="s">
        <v>712</v>
      </c>
      <c r="AM104" t="s">
        <v>713</v>
      </c>
      <c r="AN104" t="s">
        <v>714</v>
      </c>
      <c r="AO104" t="s">
        <v>715</v>
      </c>
      <c r="AP104" t="s">
        <v>716</v>
      </c>
    </row>
    <row r="105" spans="33:52">
      <c r="AG105" t="str">
        <f>VLOOKUP(AH105,AH105:AR200,$AE$1,FALSE)</f>
        <v>Antrieb - links</v>
      </c>
      <c r="AH105" t="s">
        <v>717</v>
      </c>
      <c r="AI105" t="s">
        <v>718</v>
      </c>
      <c r="AJ105" t="s">
        <v>719</v>
      </c>
      <c r="AK105" t="s">
        <v>720</v>
      </c>
      <c r="AL105" t="s">
        <v>721</v>
      </c>
      <c r="AM105" t="s">
        <v>722</v>
      </c>
      <c r="AN105" t="s">
        <v>723</v>
      </c>
      <c r="AO105" t="s">
        <v>724</v>
      </c>
      <c r="AP105" t="s">
        <v>725</v>
      </c>
    </row>
    <row r="106" spans="33:52">
      <c r="AG106" t="str">
        <f>VLOOKUP(AH106,AH106:AR201,$AE$1,FALSE)</f>
        <v>Antrieb - rechts</v>
      </c>
      <c r="AH106" t="s">
        <v>726</v>
      </c>
      <c r="AI106" t="s">
        <v>727</v>
      </c>
      <c r="AJ106" t="s">
        <v>728</v>
      </c>
      <c r="AK106" t="s">
        <v>729</v>
      </c>
      <c r="AL106" t="s">
        <v>730</v>
      </c>
      <c r="AM106" t="s">
        <v>731</v>
      </c>
      <c r="AN106" t="s">
        <v>732</v>
      </c>
      <c r="AO106" t="s">
        <v>733</v>
      </c>
      <c r="AP106" t="s">
        <v>734</v>
      </c>
    </row>
    <row r="108" spans="33:52">
      <c r="AG108" t="str">
        <f>VLOOKUP(AH108,AH108:AR185,$AE$1,FALSE)</f>
        <v>Geschweißte Stahlkonstruktion des Profils nach dem Maße 100x50x4</v>
      </c>
      <c r="AH108" t="s">
        <v>735</v>
      </c>
      <c r="AI108" t="s">
        <v>736</v>
      </c>
      <c r="AJ108" t="s">
        <v>737</v>
      </c>
      <c r="AK108" t="s">
        <v>738</v>
      </c>
      <c r="AL108" t="s">
        <v>739</v>
      </c>
      <c r="AM108" t="s">
        <v>740</v>
      </c>
      <c r="AN108" t="s">
        <v>741</v>
      </c>
      <c r="AO108" t="s">
        <v>742</v>
      </c>
      <c r="AP108" t="s">
        <v>743</v>
      </c>
    </row>
    <row r="109" spans="33:52">
      <c r="AG109" t="str">
        <f>VLOOKUP(AH109,AH109:AR204,$AE$1,FALSE)</f>
        <v>Angebot/Bestellung:</v>
      </c>
      <c r="AH109" t="s">
        <v>744</v>
      </c>
      <c r="AI109" t="s">
        <v>745</v>
      </c>
      <c r="AJ109" t="s">
        <v>746</v>
      </c>
      <c r="AK109" t="s">
        <v>747</v>
      </c>
      <c r="AL109" t="s">
        <v>748</v>
      </c>
      <c r="AM109" t="s">
        <v>749</v>
      </c>
      <c r="AN109" t="s">
        <v>750</v>
      </c>
      <c r="AO109" t="s">
        <v>751</v>
      </c>
      <c r="AP109" t="s">
        <v>752</v>
      </c>
    </row>
    <row r="110" spans="33:52">
      <c r="AG110" t="str">
        <f>VLOOKUP(AH110,AH110:AR205,$AE$1,FALSE)</f>
        <v>Position:</v>
      </c>
      <c r="AH110" t="s">
        <v>753</v>
      </c>
      <c r="AI110" t="s">
        <v>754</v>
      </c>
      <c r="AJ110" t="s">
        <v>754</v>
      </c>
      <c r="AK110" t="s">
        <v>755</v>
      </c>
      <c r="AL110" t="s">
        <v>756</v>
      </c>
      <c r="AM110" t="s">
        <v>757</v>
      </c>
      <c r="AN110" t="s">
        <v>758</v>
      </c>
      <c r="AO110" t="s">
        <v>759</v>
      </c>
      <c r="AP110" t="s">
        <v>760</v>
      </c>
    </row>
    <row r="111" spans="33:52">
      <c r="AG111" t="str">
        <f t="shared" ref="AG111" si="8">VLOOKUP(AH111,AH111:AR187,$AE$1,FALSE)</f>
        <v>Paneel-Typ</v>
      </c>
      <c r="AH111" t="s">
        <v>761</v>
      </c>
      <c r="AI111" t="s">
        <v>762</v>
      </c>
      <c r="AJ111" s="93" t="s">
        <v>763</v>
      </c>
      <c r="AK111" t="s">
        <v>764</v>
      </c>
      <c r="AL111" t="s">
        <v>765</v>
      </c>
      <c r="AM111" s="94" t="s">
        <v>766</v>
      </c>
      <c r="AN111" t="s">
        <v>767</v>
      </c>
      <c r="AO111" t="s">
        <v>768</v>
      </c>
      <c r="AP111" t="s">
        <v>769</v>
      </c>
    </row>
    <row r="112" spans="33:52">
      <c r="AG112" t="str">
        <f t="shared" ref="AG112:AG113" si="9">VLOOKUP(AH112,AH112:AR203,$AE$1,FALSE)</f>
        <v>40 mm</v>
      </c>
      <c r="AH112" t="s">
        <v>770</v>
      </c>
      <c r="AI112" t="s">
        <v>771</v>
      </c>
      <c r="AJ112" t="s">
        <v>771</v>
      </c>
      <c r="AK112" t="s">
        <v>772</v>
      </c>
      <c r="AL112" t="s">
        <v>773</v>
      </c>
      <c r="AM112" t="s">
        <v>772</v>
      </c>
      <c r="AN112" t="s">
        <v>771</v>
      </c>
      <c r="AO112" t="s">
        <v>770</v>
      </c>
      <c r="AP112" t="s">
        <v>774</v>
      </c>
    </row>
    <row r="113" spans="33:42">
      <c r="AG113" t="str">
        <f t="shared" si="9"/>
        <v>80 mm</v>
      </c>
      <c r="AH113" t="s">
        <v>775</v>
      </c>
      <c r="AI113" t="s">
        <v>776</v>
      </c>
      <c r="AJ113" t="s">
        <v>776</v>
      </c>
      <c r="AK113" t="s">
        <v>777</v>
      </c>
      <c r="AL113" t="s">
        <v>778</v>
      </c>
      <c r="AM113" t="s">
        <v>776</v>
      </c>
      <c r="AN113" t="s">
        <v>776</v>
      </c>
      <c r="AO113" t="s">
        <v>775</v>
      </c>
      <c r="AP113" t="s">
        <v>779</v>
      </c>
    </row>
    <row r="114" spans="33:42">
      <c r="AG114" t="str">
        <f t="shared" ref="AG114:AG115" si="10">VLOOKUP(AH114,AH114:AR209,$AE$1,FALSE)</f>
        <v xml:space="preserve">Antriebseite </v>
      </c>
      <c r="AH114" t="s">
        <v>780</v>
      </c>
      <c r="AI114" t="s">
        <v>781</v>
      </c>
      <c r="AJ114" t="s">
        <v>782</v>
      </c>
      <c r="AK114" t="s">
        <v>783</v>
      </c>
      <c r="AL114" t="s">
        <v>784</v>
      </c>
      <c r="AM114" t="s">
        <v>785</v>
      </c>
      <c r="AN114" t="s">
        <v>786</v>
      </c>
      <c r="AO114" t="s">
        <v>787</v>
      </c>
      <c r="AP114" t="s">
        <v>788</v>
      </c>
    </row>
    <row r="115" spans="33:42">
      <c r="AG115" t="str">
        <f t="shared" si="10"/>
        <v xml:space="preserve">Andere Seite </v>
      </c>
      <c r="AH115" t="s">
        <v>789</v>
      </c>
      <c r="AI115" t="s">
        <v>790</v>
      </c>
      <c r="AJ115" t="s">
        <v>791</v>
      </c>
      <c r="AK115" t="s">
        <v>792</v>
      </c>
      <c r="AL115" t="s">
        <v>793</v>
      </c>
      <c r="AM115" t="s">
        <v>794</v>
      </c>
      <c r="AN115" t="s">
        <v>795</v>
      </c>
      <c r="AO115" t="s">
        <v>796</v>
      </c>
      <c r="AP115" t="s">
        <v>797</v>
      </c>
    </row>
    <row r="307" spans="34:57"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</row>
    <row r="326" spans="34:57"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</row>
    <row r="542" spans="34:57"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</row>
    <row r="561" spans="34:57"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</row>
  </sheetData>
  <sheetProtection algorithmName="SHA-512" hashValue="R1QumYUYIrpMo8EuRyXljSDoNpa/8QxlB+8OLijhwvQNqyVVR7MsxxbD6dmxfJKh1t5X9GgG5e8KGMKu2TsSrg==" saltValue="L5kxIFJ5mGTHZoJb2oHLvQ==" spinCount="100000" sheet="1" selectLockedCells="1"/>
  <mergeCells count="48">
    <mergeCell ref="N65:P65"/>
    <mergeCell ref="V67:Y68"/>
    <mergeCell ref="AA67:AB67"/>
    <mergeCell ref="AA68:AB68"/>
    <mergeCell ref="R61:S61"/>
    <mergeCell ref="T61:U61"/>
    <mergeCell ref="V61:W61"/>
    <mergeCell ref="X61:Y61"/>
    <mergeCell ref="R62:U63"/>
    <mergeCell ref="V62:AB66"/>
    <mergeCell ref="R52:AB53"/>
    <mergeCell ref="R54:AB55"/>
    <mergeCell ref="M60:P60"/>
    <mergeCell ref="R60:S60"/>
    <mergeCell ref="T60:U60"/>
    <mergeCell ref="V60:W60"/>
    <mergeCell ref="X60:Y60"/>
    <mergeCell ref="T20:U20"/>
    <mergeCell ref="T21:T23"/>
    <mergeCell ref="U21:U23"/>
    <mergeCell ref="R49:AB50"/>
    <mergeCell ref="B22:B25"/>
    <mergeCell ref="S23:S27"/>
    <mergeCell ref="B26:B28"/>
    <mergeCell ref="H27:H28"/>
    <mergeCell ref="Y29:AA30"/>
    <mergeCell ref="F32:G32"/>
    <mergeCell ref="F33:F34"/>
    <mergeCell ref="X38:Z39"/>
    <mergeCell ref="E41:F41"/>
    <mergeCell ref="X41:Z42"/>
    <mergeCell ref="X47:AB48"/>
    <mergeCell ref="B17:B19"/>
    <mergeCell ref="Q2:AB3"/>
    <mergeCell ref="K9:N9"/>
    <mergeCell ref="R9:S9"/>
    <mergeCell ref="D11:F11"/>
    <mergeCell ref="B12:D12"/>
    <mergeCell ref="G12:H12"/>
    <mergeCell ref="P12:R12"/>
    <mergeCell ref="C13:C14"/>
    <mergeCell ref="H13:H20"/>
    <mergeCell ref="Q13:R14"/>
    <mergeCell ref="C15:C17"/>
    <mergeCell ref="S15:S17"/>
    <mergeCell ref="T17:T19"/>
    <mergeCell ref="S18:S20"/>
    <mergeCell ref="C19:C20"/>
  </mergeCells>
  <conditionalFormatting sqref="R9:S9">
    <cfRule type="expression" dxfId="0" priority="1" stopIfTrue="1">
      <formula>AND(OR($K$9=$AG$100,K9=""))</formula>
    </cfRule>
  </conditionalFormatting>
  <dataValidations count="6">
    <dataValidation type="list" allowBlank="1" showInputMessage="1" showErrorMessage="1" error="F = min. 850, max. 1450" sqref="K11" xr:uid="{2C74E264-E47C-45C4-AC7F-84492526AE38}">
      <formula1>$AG$112:$AG$113</formula1>
    </dataValidation>
    <dataValidation type="list" allowBlank="1" showInputMessage="1" showErrorMessage="1" sqref="K9:N9" xr:uid="{FBAA5010-7531-4AD2-AB8C-1B429EC14261}">
      <formula1>$AU$1:$AU$5</formula1>
    </dataValidation>
    <dataValidation type="whole" allowBlank="1" showInputMessage="1" showErrorMessage="1" error="F = min. 850, max. 1450" sqref="K7" xr:uid="{FC42711D-2B88-4F12-BB84-087262F23EA7}">
      <formula1>850</formula1>
      <formula2>1450</formula2>
    </dataValidation>
    <dataValidation type="whole" operator="lessThanOrEqual" allowBlank="1" showInputMessage="1" showErrorMessage="1" error="H = max. 4000 mm" sqref="K5" xr:uid="{50FF6684-7FDC-4A4D-96C6-575E79EBD674}">
      <formula1>4000</formula1>
    </dataValidation>
    <dataValidation type="whole" operator="lessThanOrEqual" allowBlank="1" showInputMessage="1" showErrorMessage="1" error="W = max. 4000 mm" sqref="K3" xr:uid="{29F9F7A7-5235-4D44-9E66-6C0E64D2A9A6}">
      <formula1>4000</formula1>
    </dataValidation>
    <dataValidation type="list" allowBlank="1" showInputMessage="1" showErrorMessage="1" sqref="E5" xr:uid="{5D9A6D67-05D6-4B4E-BD56-B6EAF9A6BE85}">
      <formula1>$AD$3:$AD$11</formula1>
    </dataValidation>
  </dataValidations>
  <printOptions horizontalCentered="1" verticalCentered="1"/>
  <pageMargins left="0.19685039370078741" right="0.19685039370078741" top="0.19685039370078741" bottom="0" header="0" footer="0"/>
  <pageSetup paperSize="9" scale="49" orientation="landscape" r:id="rId1"/>
  <colBreaks count="1" manualBreakCount="1">
    <brk id="29" max="6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34B75-FE27-4F2A-9195-96F94AE322A5}">
  <sheetPr codeName="List2"/>
  <dimension ref="A1:I49"/>
  <sheetViews>
    <sheetView showGridLines="0" view="pageBreakPreview" topLeftCell="A15" zoomScaleNormal="100" zoomScaleSheetLayoutView="100" workbookViewId="0">
      <selection activeCell="H42" sqref="H42:I49"/>
    </sheetView>
  </sheetViews>
  <sheetFormatPr baseColWidth="10" defaultColWidth="9.140625" defaultRowHeight="15"/>
  <sheetData>
    <row r="1" spans="1:9" ht="15" customHeight="1">
      <c r="A1" s="95"/>
      <c r="B1" s="96"/>
      <c r="C1" s="96"/>
      <c r="D1" s="96"/>
      <c r="E1" s="96"/>
      <c r="F1" s="96"/>
      <c r="G1" s="96"/>
      <c r="H1" s="96"/>
      <c r="I1" s="186"/>
    </row>
    <row r="2" spans="1:9">
      <c r="A2" s="25"/>
      <c r="B2" s="26"/>
      <c r="C2" s="26"/>
      <c r="D2" s="26"/>
      <c r="E2" s="26"/>
      <c r="F2" s="26"/>
      <c r="G2" s="26"/>
      <c r="H2" s="26"/>
      <c r="I2" s="187"/>
    </row>
    <row r="3" spans="1:9">
      <c r="A3" s="25"/>
      <c r="B3" s="26"/>
      <c r="C3" s="30"/>
      <c r="D3" s="26"/>
      <c r="E3" s="26"/>
      <c r="F3" s="26"/>
      <c r="G3" s="26"/>
      <c r="H3" s="26"/>
      <c r="I3" s="187"/>
    </row>
    <row r="4" spans="1:9">
      <c r="A4" s="25"/>
      <c r="B4" s="29"/>
      <c r="C4" s="26"/>
      <c r="D4" s="26"/>
      <c r="E4" s="26"/>
      <c r="F4" s="26"/>
      <c r="G4" s="26"/>
      <c r="H4" s="26"/>
      <c r="I4" s="187"/>
    </row>
    <row r="5" spans="1:9">
      <c r="A5" s="25"/>
      <c r="B5" s="26"/>
      <c r="C5" s="26"/>
      <c r="D5" s="26"/>
      <c r="E5" s="26"/>
      <c r="F5" s="26"/>
      <c r="G5" s="26"/>
      <c r="H5" s="26"/>
      <c r="I5" s="187"/>
    </row>
    <row r="6" spans="1:9">
      <c r="A6" s="116"/>
      <c r="B6" s="26"/>
      <c r="C6" s="26"/>
      <c r="D6" s="26"/>
      <c r="E6" s="26"/>
      <c r="F6" s="26"/>
      <c r="G6" s="26"/>
      <c r="H6" s="26"/>
      <c r="I6" s="187"/>
    </row>
    <row r="7" spans="1:9">
      <c r="A7" s="116"/>
      <c r="B7" s="26"/>
      <c r="C7" s="26"/>
      <c r="D7" s="26"/>
      <c r="E7" s="26"/>
      <c r="F7" s="26"/>
      <c r="G7" s="26"/>
      <c r="H7" s="26"/>
      <c r="I7" s="187"/>
    </row>
    <row r="8" spans="1:9">
      <c r="A8" s="116"/>
      <c r="B8" s="26"/>
      <c r="C8" s="26"/>
      <c r="D8" s="26"/>
      <c r="E8" s="26"/>
      <c r="F8" s="26"/>
      <c r="G8" s="26"/>
      <c r="H8" s="26"/>
      <c r="I8" s="187"/>
    </row>
    <row r="9" spans="1:9">
      <c r="A9" s="116"/>
      <c r="B9" s="26"/>
      <c r="C9" s="26"/>
      <c r="D9" s="26"/>
      <c r="E9" s="26"/>
      <c r="F9" s="26"/>
      <c r="G9" s="26"/>
      <c r="H9" s="26"/>
      <c r="I9" s="187"/>
    </row>
    <row r="10" spans="1:9">
      <c r="A10" s="116"/>
      <c r="B10" s="26"/>
      <c r="C10" s="26"/>
      <c r="D10" s="26"/>
      <c r="E10" s="26"/>
      <c r="F10" s="26"/>
      <c r="G10" s="26"/>
      <c r="H10" s="26"/>
      <c r="I10" s="187"/>
    </row>
    <row r="11" spans="1:9">
      <c r="A11" s="25"/>
      <c r="B11" s="26"/>
      <c r="C11" s="26"/>
      <c r="D11" s="26"/>
      <c r="E11" s="26"/>
      <c r="F11" s="26"/>
      <c r="G11" s="26"/>
      <c r="H11" s="26"/>
      <c r="I11" s="187"/>
    </row>
    <row r="12" spans="1:9">
      <c r="A12" s="25"/>
      <c r="B12" s="26"/>
      <c r="C12" s="26"/>
      <c r="D12" s="26"/>
      <c r="E12" s="26"/>
      <c r="F12" s="26"/>
      <c r="G12" s="26"/>
      <c r="H12" s="26"/>
      <c r="I12" s="187"/>
    </row>
    <row r="13" spans="1:9">
      <c r="A13" s="25"/>
      <c r="B13" s="26"/>
      <c r="C13" s="26"/>
      <c r="D13" s="26"/>
      <c r="E13" s="26"/>
      <c r="F13" s="26"/>
      <c r="G13" s="26"/>
      <c r="H13" s="26"/>
      <c r="I13" s="97"/>
    </row>
    <row r="14" spans="1:9">
      <c r="A14" s="25"/>
      <c r="B14" s="26"/>
      <c r="C14" s="26"/>
      <c r="D14" s="26"/>
      <c r="E14" s="26"/>
      <c r="F14" s="26"/>
      <c r="G14" s="26"/>
      <c r="H14" s="26"/>
      <c r="I14" s="97"/>
    </row>
    <row r="15" spans="1:9">
      <c r="A15" s="98"/>
      <c r="B15" s="26"/>
      <c r="C15" s="26"/>
      <c r="D15" s="26"/>
      <c r="E15" s="26"/>
      <c r="F15" s="26"/>
      <c r="G15" s="26"/>
      <c r="H15" s="26"/>
      <c r="I15" s="99"/>
    </row>
    <row r="16" spans="1:9">
      <c r="A16" s="116"/>
      <c r="B16" s="26"/>
      <c r="C16" s="26"/>
      <c r="D16" s="26"/>
      <c r="E16" s="26"/>
      <c r="F16" s="26"/>
      <c r="G16" s="26"/>
      <c r="H16" s="26"/>
      <c r="I16" s="99"/>
    </row>
    <row r="17" spans="1:9">
      <c r="A17" s="116"/>
      <c r="B17" s="26"/>
      <c r="C17" s="26"/>
      <c r="D17" s="26"/>
      <c r="E17" s="26"/>
      <c r="F17" s="26"/>
      <c r="G17" s="26"/>
      <c r="H17" s="26"/>
      <c r="I17" s="99"/>
    </row>
    <row r="18" spans="1:9">
      <c r="A18" s="116"/>
      <c r="B18" s="26"/>
      <c r="C18" s="26"/>
      <c r="D18" s="26"/>
      <c r="E18" s="26"/>
      <c r="F18" s="26"/>
      <c r="G18" s="26"/>
      <c r="H18" s="26"/>
      <c r="I18" s="99"/>
    </row>
    <row r="19" spans="1:9">
      <c r="A19" s="116"/>
      <c r="B19" s="26"/>
      <c r="C19" s="26"/>
      <c r="D19" s="26"/>
      <c r="E19" s="26"/>
      <c r="F19" s="26"/>
      <c r="G19" s="26"/>
      <c r="H19" s="26"/>
      <c r="I19" s="99"/>
    </row>
    <row r="20" spans="1:9">
      <c r="A20" s="116"/>
      <c r="B20" s="26"/>
      <c r="C20" s="26"/>
      <c r="D20" s="26"/>
      <c r="E20" s="26"/>
      <c r="F20" s="26"/>
      <c r="G20" s="26"/>
      <c r="H20" s="26"/>
      <c r="I20" s="99"/>
    </row>
    <row r="21" spans="1:9">
      <c r="A21" s="116"/>
      <c r="B21" s="26"/>
      <c r="C21" s="26"/>
      <c r="D21" s="26"/>
      <c r="E21" s="26"/>
      <c r="F21" s="26"/>
      <c r="G21" s="26"/>
      <c r="H21" s="26"/>
      <c r="I21" s="99"/>
    </row>
    <row r="22" spans="1:9">
      <c r="A22" s="25"/>
      <c r="B22" s="26"/>
      <c r="C22" s="26"/>
      <c r="D22" s="26"/>
      <c r="E22" s="26"/>
      <c r="F22" s="26"/>
      <c r="G22" s="26"/>
      <c r="H22" s="26"/>
      <c r="I22" s="99"/>
    </row>
    <row r="23" spans="1:9">
      <c r="A23" s="25"/>
      <c r="B23" s="26"/>
      <c r="C23" s="26"/>
      <c r="D23" s="26"/>
      <c r="E23" s="26"/>
      <c r="F23" s="26"/>
      <c r="G23" s="26"/>
      <c r="H23" s="26"/>
      <c r="I23" s="99"/>
    </row>
    <row r="24" spans="1:9">
      <c r="A24" s="25"/>
      <c r="B24" s="26"/>
      <c r="C24" s="26"/>
      <c r="D24" s="26"/>
      <c r="E24" s="26"/>
      <c r="F24" s="26"/>
      <c r="G24" s="26"/>
      <c r="H24" s="26"/>
      <c r="I24" s="99"/>
    </row>
    <row r="25" spans="1:9">
      <c r="A25" s="25"/>
      <c r="B25" s="26"/>
      <c r="C25" s="26"/>
      <c r="D25" s="26"/>
      <c r="E25" s="26"/>
      <c r="F25" s="26"/>
      <c r="G25" s="26"/>
      <c r="H25" s="26"/>
      <c r="I25" s="99"/>
    </row>
    <row r="26" spans="1:9">
      <c r="A26" s="25"/>
      <c r="B26" s="26"/>
      <c r="C26" s="26"/>
      <c r="D26" s="26"/>
      <c r="E26" s="26"/>
      <c r="F26" s="26"/>
      <c r="G26" s="26"/>
      <c r="H26" s="26"/>
      <c r="I26" s="99"/>
    </row>
    <row r="27" spans="1:9">
      <c r="A27" s="25"/>
      <c r="B27" s="26"/>
      <c r="C27" s="26"/>
      <c r="D27" s="30"/>
      <c r="E27" s="26"/>
      <c r="F27" s="26"/>
      <c r="G27" s="30"/>
      <c r="H27" s="26"/>
      <c r="I27" s="99"/>
    </row>
    <row r="28" spans="1:9">
      <c r="A28" s="25"/>
      <c r="B28" s="26"/>
      <c r="C28" s="26"/>
      <c r="D28" s="26"/>
      <c r="E28" s="26"/>
      <c r="F28" s="30"/>
      <c r="G28" s="26"/>
      <c r="H28" s="26"/>
      <c r="I28" s="99"/>
    </row>
    <row r="29" spans="1:9">
      <c r="A29" s="25"/>
      <c r="B29" s="26"/>
      <c r="C29" s="26"/>
      <c r="D29" s="26"/>
      <c r="E29" s="26"/>
      <c r="F29" s="30"/>
      <c r="G29" s="26"/>
      <c r="H29" s="26"/>
      <c r="I29" s="99"/>
    </row>
    <row r="30" spans="1:9">
      <c r="A30" s="25"/>
      <c r="B30" s="31"/>
      <c r="C30" s="26"/>
      <c r="D30" s="26"/>
      <c r="E30" s="26"/>
      <c r="F30" s="26"/>
      <c r="G30" s="26"/>
      <c r="H30" s="26"/>
      <c r="I30" s="99"/>
    </row>
    <row r="31" spans="1:9">
      <c r="A31" s="25"/>
      <c r="B31" s="26"/>
      <c r="C31" s="26"/>
      <c r="D31" s="26"/>
      <c r="E31" s="26"/>
      <c r="F31" s="26"/>
      <c r="G31" s="26"/>
      <c r="H31" s="26"/>
      <c r="I31" s="99"/>
    </row>
    <row r="32" spans="1:9">
      <c r="A32" s="25"/>
      <c r="B32" s="26"/>
      <c r="C32" s="26"/>
      <c r="D32" s="26"/>
      <c r="E32" s="26"/>
      <c r="F32" s="26"/>
      <c r="G32" s="26"/>
      <c r="H32" s="26"/>
      <c r="I32" s="99"/>
    </row>
    <row r="33" spans="1:9">
      <c r="A33" s="25"/>
      <c r="B33" s="26"/>
      <c r="C33" s="26"/>
      <c r="D33" s="26"/>
      <c r="E33" s="26"/>
      <c r="F33" s="26"/>
      <c r="G33" s="26"/>
      <c r="H33" s="26"/>
      <c r="I33" s="99"/>
    </row>
    <row r="34" spans="1:9">
      <c r="A34" s="25"/>
      <c r="B34" s="26"/>
      <c r="C34" s="26"/>
      <c r="D34" s="26"/>
      <c r="E34" s="26"/>
      <c r="F34" s="26"/>
      <c r="G34" s="26"/>
      <c r="H34" s="26"/>
      <c r="I34" s="99"/>
    </row>
    <row r="35" spans="1:9">
      <c r="A35" s="25"/>
      <c r="B35" s="26"/>
      <c r="C35" s="26"/>
      <c r="D35" s="26"/>
      <c r="E35" s="26"/>
      <c r="F35" s="26"/>
      <c r="G35" s="26"/>
      <c r="H35" s="26"/>
      <c r="I35" s="99"/>
    </row>
    <row r="36" spans="1:9">
      <c r="A36" s="25"/>
      <c r="B36" s="26"/>
      <c r="C36" s="26"/>
      <c r="D36" s="26"/>
      <c r="E36" s="26"/>
      <c r="F36" s="26"/>
      <c r="G36" s="26"/>
      <c r="H36" s="26"/>
      <c r="I36" s="99"/>
    </row>
    <row r="37" spans="1:9">
      <c r="A37" s="25"/>
      <c r="B37" s="26"/>
      <c r="C37" s="26"/>
      <c r="D37" s="26"/>
      <c r="E37" s="26"/>
      <c r="F37" s="26"/>
      <c r="G37" s="26"/>
      <c r="H37" s="26"/>
      <c r="I37" s="99"/>
    </row>
    <row r="38" spans="1:9">
      <c r="A38" s="25"/>
      <c r="B38" s="26"/>
      <c r="C38" s="26"/>
      <c r="D38" s="26"/>
      <c r="E38" s="26"/>
      <c r="F38" s="26"/>
      <c r="G38" s="26"/>
      <c r="H38" s="26"/>
      <c r="I38" s="99"/>
    </row>
    <row r="39" spans="1:9" ht="15.75" thickBot="1">
      <c r="A39" s="100"/>
      <c r="I39" s="5"/>
    </row>
    <row r="40" spans="1:9">
      <c r="A40" s="100"/>
      <c r="C40" s="188" t="str">
        <f>general!Q2</f>
        <v>HÖHERGEFÜHRTER BESCHLAG (HL-1T)</v>
      </c>
      <c r="D40" s="189"/>
      <c r="E40" s="189"/>
      <c r="F40" s="189"/>
      <c r="G40" s="189"/>
      <c r="H40" s="189"/>
      <c r="I40" s="190"/>
    </row>
    <row r="41" spans="1:9" ht="15.75" thickBot="1">
      <c r="A41" s="100"/>
      <c r="C41" s="191"/>
      <c r="D41" s="192"/>
      <c r="E41" s="192"/>
      <c r="F41" s="192"/>
      <c r="G41" s="192"/>
      <c r="H41" s="192"/>
      <c r="I41" s="193"/>
    </row>
    <row r="42" spans="1:9" ht="15.75" thickBot="1">
      <c r="A42" s="100"/>
      <c r="C42" s="181" t="str">
        <f>general!AG104</f>
        <v>Antriebesposition</v>
      </c>
      <c r="D42" s="182"/>
      <c r="E42" s="188" t="str">
        <f>general!AG106</f>
        <v>Antrieb - rechts</v>
      </c>
      <c r="F42" s="189"/>
      <c r="G42" s="190"/>
      <c r="H42" s="194"/>
      <c r="I42" s="194"/>
    </row>
    <row r="43" spans="1:9" ht="15.75" thickBot="1">
      <c r="A43" s="100"/>
      <c r="C43" s="183"/>
      <c r="D43" s="184"/>
      <c r="E43" s="191"/>
      <c r="F43" s="192"/>
      <c r="G43" s="193"/>
      <c r="H43" s="194"/>
      <c r="I43" s="194"/>
    </row>
    <row r="44" spans="1:9" ht="15.75" thickBot="1">
      <c r="A44" s="100"/>
      <c r="C44" s="181" t="str">
        <f>general!AG83</f>
        <v>Aufgestellt:</v>
      </c>
      <c r="D44" s="182"/>
      <c r="E44" s="180"/>
      <c r="F44" s="180"/>
      <c r="G44" s="180"/>
      <c r="H44" s="194"/>
      <c r="I44" s="194"/>
    </row>
    <row r="45" spans="1:9" ht="15.75" thickBot="1">
      <c r="A45" s="100"/>
      <c r="C45" s="183"/>
      <c r="D45" s="184"/>
      <c r="E45" s="180"/>
      <c r="F45" s="180"/>
      <c r="G45" s="180"/>
      <c r="H45" s="194"/>
      <c r="I45" s="194"/>
    </row>
    <row r="46" spans="1:9" ht="15.75" thickBot="1">
      <c r="A46" s="100"/>
      <c r="C46" s="181" t="str">
        <f>general!AG84</f>
        <v>Bereinigt:</v>
      </c>
      <c r="D46" s="182"/>
      <c r="E46" s="180"/>
      <c r="F46" s="180"/>
      <c r="G46" s="180"/>
      <c r="H46" s="194"/>
      <c r="I46" s="194"/>
    </row>
    <row r="47" spans="1:9" ht="15.75" thickBot="1">
      <c r="A47" s="100"/>
      <c r="C47" s="183"/>
      <c r="D47" s="184"/>
      <c r="E47" s="180"/>
      <c r="F47" s="180"/>
      <c r="G47" s="180"/>
      <c r="H47" s="194"/>
      <c r="I47" s="194"/>
    </row>
    <row r="48" spans="1:9" ht="15.75" thickBot="1">
      <c r="A48" s="100"/>
      <c r="C48" s="181" t="str">
        <f>general!AG87</f>
        <v>Datum:</v>
      </c>
      <c r="D48" s="182"/>
      <c r="E48" s="185"/>
      <c r="F48" s="185"/>
      <c r="G48" s="185"/>
      <c r="H48" s="194"/>
      <c r="I48" s="194"/>
    </row>
    <row r="49" spans="1:9" ht="15.75" thickBot="1">
      <c r="A49" s="101"/>
      <c r="B49" s="1"/>
      <c r="C49" s="183"/>
      <c r="D49" s="184"/>
      <c r="E49" s="185"/>
      <c r="F49" s="185"/>
      <c r="G49" s="185"/>
      <c r="H49" s="194"/>
      <c r="I49" s="194"/>
    </row>
  </sheetData>
  <sheetProtection algorithmName="SHA-512" hashValue="0kFtv3RQSYTlp3Ae3B5NNujLkfJ6BRGXCSXi4yOsPJlRDEdmjJFVYww/ksbDr0gr7h0hvnXSEja945logpb1mQ==" saltValue="qAARIY4NuFqj3csTHWgJNQ==" spinCount="100000" sheet="1" objects="1" selectLockedCells="1"/>
  <mergeCells count="13">
    <mergeCell ref="E46:G47"/>
    <mergeCell ref="C48:D49"/>
    <mergeCell ref="E48:G49"/>
    <mergeCell ref="I1:I12"/>
    <mergeCell ref="A6:A10"/>
    <mergeCell ref="A16:A21"/>
    <mergeCell ref="C40:I41"/>
    <mergeCell ref="C42:D43"/>
    <mergeCell ref="E42:G43"/>
    <mergeCell ref="H42:I49"/>
    <mergeCell ref="C44:D45"/>
    <mergeCell ref="E44:G45"/>
    <mergeCell ref="C46:D4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83EA8-F0EE-452E-8786-9BB2FD28E561}">
  <sheetPr codeName="List3"/>
  <dimension ref="A1:I49"/>
  <sheetViews>
    <sheetView showGridLines="0" view="pageBreakPreview" topLeftCell="A15" zoomScaleNormal="100" zoomScaleSheetLayoutView="100" workbookViewId="0">
      <selection activeCell="H42" sqref="H42:I49"/>
    </sheetView>
  </sheetViews>
  <sheetFormatPr baseColWidth="10" defaultColWidth="9.140625" defaultRowHeight="15"/>
  <sheetData>
    <row r="1" spans="1:9">
      <c r="A1" s="95"/>
      <c r="B1" s="96"/>
      <c r="C1" s="96"/>
      <c r="D1" s="96"/>
      <c r="E1" s="96"/>
      <c r="F1" s="96"/>
      <c r="G1" s="96"/>
      <c r="H1" s="96"/>
      <c r="I1" s="186"/>
    </row>
    <row r="2" spans="1:9">
      <c r="A2" s="25"/>
      <c r="B2" s="26"/>
      <c r="C2" s="26"/>
      <c r="D2" s="26"/>
      <c r="E2" s="26"/>
      <c r="F2" s="26"/>
      <c r="G2" s="26"/>
      <c r="H2" s="26"/>
      <c r="I2" s="187"/>
    </row>
    <row r="3" spans="1:9">
      <c r="A3" s="25"/>
      <c r="B3" s="26"/>
      <c r="C3" s="30"/>
      <c r="D3" s="26"/>
      <c r="E3" s="26"/>
      <c r="F3" s="26"/>
      <c r="G3" s="26"/>
      <c r="H3" s="26"/>
      <c r="I3" s="187"/>
    </row>
    <row r="4" spans="1:9">
      <c r="A4" s="25"/>
      <c r="B4" s="29"/>
      <c r="C4" s="26"/>
      <c r="D4" s="26"/>
      <c r="E4" s="26"/>
      <c r="F4" s="26"/>
      <c r="G4" s="26"/>
      <c r="H4" s="26"/>
      <c r="I4" s="187"/>
    </row>
    <row r="5" spans="1:9">
      <c r="A5" s="25"/>
      <c r="B5" s="26"/>
      <c r="C5" s="26"/>
      <c r="D5" s="26"/>
      <c r="E5" s="26"/>
      <c r="F5" s="26"/>
      <c r="G5" s="26"/>
      <c r="H5" s="26"/>
      <c r="I5" s="187"/>
    </row>
    <row r="6" spans="1:9">
      <c r="A6" s="116"/>
      <c r="B6" s="26"/>
      <c r="C6" s="26"/>
      <c r="D6" s="26"/>
      <c r="E6" s="26"/>
      <c r="F6" s="26"/>
      <c r="G6" s="26"/>
      <c r="H6" s="26"/>
      <c r="I6" s="187"/>
    </row>
    <row r="7" spans="1:9">
      <c r="A7" s="116"/>
      <c r="B7" s="26"/>
      <c r="C7" s="26"/>
      <c r="D7" s="26"/>
      <c r="E7" s="26"/>
      <c r="F7" s="26"/>
      <c r="G7" s="26"/>
      <c r="H7" s="26"/>
      <c r="I7" s="187"/>
    </row>
    <row r="8" spans="1:9">
      <c r="A8" s="116"/>
      <c r="B8" s="26"/>
      <c r="C8" s="26"/>
      <c r="D8" s="26"/>
      <c r="E8" s="26"/>
      <c r="F8" s="26"/>
      <c r="G8" s="26"/>
      <c r="H8" s="26"/>
      <c r="I8" s="187"/>
    </row>
    <row r="9" spans="1:9">
      <c r="A9" s="116"/>
      <c r="B9" s="26"/>
      <c r="C9" s="26"/>
      <c r="D9" s="26"/>
      <c r="E9" s="26"/>
      <c r="F9" s="26"/>
      <c r="G9" s="26"/>
      <c r="H9" s="26"/>
      <c r="I9" s="187"/>
    </row>
    <row r="10" spans="1:9">
      <c r="A10" s="116"/>
      <c r="B10" s="26"/>
      <c r="C10" s="26"/>
      <c r="D10" s="26"/>
      <c r="E10" s="26"/>
      <c r="F10" s="26"/>
      <c r="G10" s="26"/>
      <c r="H10" s="26"/>
      <c r="I10" s="187"/>
    </row>
    <row r="11" spans="1:9">
      <c r="A11" s="25"/>
      <c r="B11" s="26"/>
      <c r="C11" s="26"/>
      <c r="D11" s="26"/>
      <c r="E11" s="26"/>
      <c r="F11" s="26"/>
      <c r="G11" s="26"/>
      <c r="H11" s="26"/>
      <c r="I11" s="187"/>
    </row>
    <row r="12" spans="1:9">
      <c r="A12" s="25"/>
      <c r="B12" s="26"/>
      <c r="C12" s="26"/>
      <c r="D12" s="26"/>
      <c r="E12" s="26"/>
      <c r="F12" s="26"/>
      <c r="G12" s="26"/>
      <c r="H12" s="26"/>
      <c r="I12" s="187"/>
    </row>
    <row r="13" spans="1:9">
      <c r="A13" s="25"/>
      <c r="B13" s="26"/>
      <c r="C13" s="26"/>
      <c r="D13" s="26"/>
      <c r="E13" s="26"/>
      <c r="F13" s="26"/>
      <c r="G13" s="26"/>
      <c r="H13" s="26"/>
      <c r="I13" s="97"/>
    </row>
    <row r="14" spans="1:9">
      <c r="A14" s="25"/>
      <c r="B14" s="26"/>
      <c r="C14" s="26"/>
      <c r="D14" s="26"/>
      <c r="E14" s="26"/>
      <c r="F14" s="26"/>
      <c r="G14" s="26"/>
      <c r="H14" s="26"/>
      <c r="I14" s="97"/>
    </row>
    <row r="15" spans="1:9">
      <c r="A15" s="98"/>
      <c r="B15" s="26"/>
      <c r="C15" s="26"/>
      <c r="D15" s="26"/>
      <c r="E15" s="26"/>
      <c r="F15" s="26"/>
      <c r="G15" s="26"/>
      <c r="H15" s="26"/>
      <c r="I15" s="99"/>
    </row>
    <row r="16" spans="1:9">
      <c r="A16" s="116"/>
      <c r="B16" s="26"/>
      <c r="C16" s="26"/>
      <c r="D16" s="26"/>
      <c r="E16" s="26"/>
      <c r="F16" s="26"/>
      <c r="G16" s="26"/>
      <c r="H16" s="26"/>
      <c r="I16" s="99"/>
    </row>
    <row r="17" spans="1:9">
      <c r="A17" s="116"/>
      <c r="B17" s="26"/>
      <c r="C17" s="26"/>
      <c r="D17" s="26"/>
      <c r="E17" s="26"/>
      <c r="F17" s="26"/>
      <c r="G17" s="26"/>
      <c r="H17" s="26"/>
      <c r="I17" s="99"/>
    </row>
    <row r="18" spans="1:9">
      <c r="A18" s="116"/>
      <c r="B18" s="26"/>
      <c r="C18" s="26"/>
      <c r="D18" s="26"/>
      <c r="E18" s="26"/>
      <c r="F18" s="26"/>
      <c r="G18" s="26"/>
      <c r="H18" s="26"/>
      <c r="I18" s="99"/>
    </row>
    <row r="19" spans="1:9">
      <c r="A19" s="116"/>
      <c r="B19" s="26"/>
      <c r="C19" s="26"/>
      <c r="D19" s="26"/>
      <c r="E19" s="26"/>
      <c r="F19" s="26"/>
      <c r="G19" s="26"/>
      <c r="H19" s="26"/>
      <c r="I19" s="99"/>
    </row>
    <row r="20" spans="1:9">
      <c r="A20" s="116"/>
      <c r="B20" s="26"/>
      <c r="C20" s="26"/>
      <c r="D20" s="26"/>
      <c r="E20" s="26"/>
      <c r="F20" s="26"/>
      <c r="G20" s="26"/>
      <c r="H20" s="26"/>
      <c r="I20" s="99"/>
    </row>
    <row r="21" spans="1:9">
      <c r="A21" s="116"/>
      <c r="B21" s="26"/>
      <c r="C21" s="26"/>
      <c r="D21" s="26"/>
      <c r="E21" s="26"/>
      <c r="F21" s="26"/>
      <c r="G21" s="26"/>
      <c r="H21" s="26"/>
      <c r="I21" s="99"/>
    </row>
    <row r="22" spans="1:9">
      <c r="A22" s="25"/>
      <c r="B22" s="26"/>
      <c r="C22" s="26"/>
      <c r="D22" s="26"/>
      <c r="E22" s="26"/>
      <c r="F22" s="26"/>
      <c r="G22" s="26"/>
      <c r="H22" s="26"/>
      <c r="I22" s="99"/>
    </row>
    <row r="23" spans="1:9">
      <c r="A23" s="25"/>
      <c r="B23" s="26"/>
      <c r="C23" s="26"/>
      <c r="D23" s="26"/>
      <c r="E23" s="26"/>
      <c r="F23" s="26"/>
      <c r="G23" s="26"/>
      <c r="H23" s="26"/>
      <c r="I23" s="99"/>
    </row>
    <row r="24" spans="1:9">
      <c r="A24" s="25"/>
      <c r="B24" s="26"/>
      <c r="C24" s="26"/>
      <c r="D24" s="26"/>
      <c r="E24" s="26"/>
      <c r="F24" s="26"/>
      <c r="G24" s="26"/>
      <c r="H24" s="26"/>
      <c r="I24" s="99"/>
    </row>
    <row r="25" spans="1:9">
      <c r="A25" s="25"/>
      <c r="B25" s="26"/>
      <c r="C25" s="26"/>
      <c r="D25" s="26"/>
      <c r="E25" s="26"/>
      <c r="F25" s="26"/>
      <c r="G25" s="26"/>
      <c r="H25" s="26"/>
      <c r="I25" s="99"/>
    </row>
    <row r="26" spans="1:9">
      <c r="A26" s="25"/>
      <c r="B26" s="26"/>
      <c r="C26" s="26"/>
      <c r="D26" s="26"/>
      <c r="E26" s="26"/>
      <c r="F26" s="26"/>
      <c r="G26" s="26"/>
      <c r="H26" s="26"/>
      <c r="I26" s="99"/>
    </row>
    <row r="27" spans="1:9">
      <c r="A27" s="25"/>
      <c r="B27" s="26"/>
      <c r="C27" s="26"/>
      <c r="D27" s="30"/>
      <c r="E27" s="26"/>
      <c r="F27" s="26"/>
      <c r="G27" s="30"/>
      <c r="H27" s="26"/>
      <c r="I27" s="99"/>
    </row>
    <row r="28" spans="1:9">
      <c r="A28" s="25"/>
      <c r="B28" s="26"/>
      <c r="C28" s="26"/>
      <c r="D28" s="26"/>
      <c r="E28" s="26"/>
      <c r="F28" s="30"/>
      <c r="G28" s="26"/>
      <c r="H28" s="26"/>
      <c r="I28" s="99"/>
    </row>
    <row r="29" spans="1:9">
      <c r="A29" s="25"/>
      <c r="B29" s="26"/>
      <c r="C29" s="26"/>
      <c r="D29" s="26"/>
      <c r="E29" s="26"/>
      <c r="F29" s="30"/>
      <c r="G29" s="26"/>
      <c r="H29" s="26"/>
      <c r="I29" s="99"/>
    </row>
    <row r="30" spans="1:9">
      <c r="A30" s="25"/>
      <c r="B30" s="26"/>
      <c r="C30" s="26"/>
      <c r="D30" s="26"/>
      <c r="E30" s="26"/>
      <c r="F30" s="26"/>
      <c r="G30" s="26"/>
      <c r="H30" s="26"/>
      <c r="I30" s="99"/>
    </row>
    <row r="31" spans="1:9">
      <c r="A31" s="25"/>
      <c r="B31" s="26"/>
      <c r="C31" s="26"/>
      <c r="D31" s="26"/>
      <c r="E31" s="26"/>
      <c r="F31" s="26"/>
      <c r="G31" s="26"/>
      <c r="H31" s="26"/>
      <c r="I31" s="99"/>
    </row>
    <row r="32" spans="1:9">
      <c r="A32" s="25"/>
      <c r="B32" s="26"/>
      <c r="C32" s="26"/>
      <c r="D32" s="26"/>
      <c r="E32" s="26"/>
      <c r="F32" s="26"/>
      <c r="G32" s="26"/>
      <c r="H32" s="26"/>
      <c r="I32" s="99"/>
    </row>
    <row r="33" spans="1:9">
      <c r="A33" s="25"/>
      <c r="B33" s="26"/>
      <c r="C33" s="26"/>
      <c r="D33" s="26"/>
      <c r="E33" s="26"/>
      <c r="F33" s="26"/>
      <c r="G33" s="26"/>
      <c r="H33" s="26"/>
      <c r="I33" s="99"/>
    </row>
    <row r="34" spans="1:9">
      <c r="A34" s="25"/>
      <c r="B34" s="26"/>
      <c r="C34" s="26"/>
      <c r="D34" s="26"/>
      <c r="E34" s="26"/>
      <c r="F34" s="26"/>
      <c r="G34" s="26"/>
      <c r="H34" s="26"/>
      <c r="I34" s="99"/>
    </row>
    <row r="35" spans="1:9">
      <c r="A35" s="25"/>
      <c r="B35" s="26"/>
      <c r="C35" s="26"/>
      <c r="D35" s="26"/>
      <c r="E35" s="26"/>
      <c r="F35" s="26"/>
      <c r="G35" s="26"/>
      <c r="H35" s="26"/>
      <c r="I35" s="99"/>
    </row>
    <row r="36" spans="1:9">
      <c r="A36" s="100"/>
      <c r="I36" s="5"/>
    </row>
    <row r="37" spans="1:9">
      <c r="A37" s="100"/>
      <c r="I37" s="5"/>
    </row>
    <row r="38" spans="1:9">
      <c r="A38" s="100"/>
      <c r="I38" s="5"/>
    </row>
    <row r="39" spans="1:9" ht="15.75" thickBot="1">
      <c r="A39" s="100"/>
      <c r="I39" s="5"/>
    </row>
    <row r="40" spans="1:9">
      <c r="A40" s="100"/>
      <c r="C40" s="188" t="str">
        <f>general!Q2</f>
        <v>HÖHERGEFÜHRTER BESCHLAG (HL-1T)</v>
      </c>
      <c r="D40" s="189"/>
      <c r="E40" s="189"/>
      <c r="F40" s="189"/>
      <c r="G40" s="189"/>
      <c r="H40" s="189"/>
      <c r="I40" s="190"/>
    </row>
    <row r="41" spans="1:9" ht="15.75" thickBot="1">
      <c r="A41" s="100"/>
      <c r="C41" s="191"/>
      <c r="D41" s="192"/>
      <c r="E41" s="192"/>
      <c r="F41" s="192"/>
      <c r="G41" s="192"/>
      <c r="H41" s="192"/>
      <c r="I41" s="193"/>
    </row>
    <row r="42" spans="1:9" ht="15.75" thickBot="1">
      <c r="A42" s="100"/>
      <c r="C42" s="181" t="str">
        <f>general!AG104</f>
        <v>Antriebesposition</v>
      </c>
      <c r="D42" s="182"/>
      <c r="E42" s="188" t="str">
        <f>general!AG105</f>
        <v>Antrieb - links</v>
      </c>
      <c r="F42" s="189"/>
      <c r="G42" s="190"/>
      <c r="H42" s="194"/>
      <c r="I42" s="194"/>
    </row>
    <row r="43" spans="1:9" ht="15.75" thickBot="1">
      <c r="A43" s="100"/>
      <c r="C43" s="183"/>
      <c r="D43" s="184"/>
      <c r="E43" s="191"/>
      <c r="F43" s="192"/>
      <c r="G43" s="193"/>
      <c r="H43" s="194"/>
      <c r="I43" s="194"/>
    </row>
    <row r="44" spans="1:9" ht="15.75" thickBot="1">
      <c r="A44" s="100"/>
      <c r="C44" s="181" t="str">
        <f>general!AG83</f>
        <v>Aufgestellt:</v>
      </c>
      <c r="D44" s="182"/>
      <c r="E44" s="180"/>
      <c r="F44" s="180"/>
      <c r="G44" s="180"/>
      <c r="H44" s="194"/>
      <c r="I44" s="194"/>
    </row>
    <row r="45" spans="1:9" ht="15.75" thickBot="1">
      <c r="A45" s="100"/>
      <c r="C45" s="183"/>
      <c r="D45" s="184"/>
      <c r="E45" s="180"/>
      <c r="F45" s="180"/>
      <c r="G45" s="180"/>
      <c r="H45" s="194"/>
      <c r="I45" s="194"/>
    </row>
    <row r="46" spans="1:9" ht="15.75" thickBot="1">
      <c r="A46" s="100"/>
      <c r="C46" s="181" t="str">
        <f>general!AG84</f>
        <v>Bereinigt:</v>
      </c>
      <c r="D46" s="182"/>
      <c r="E46" s="180"/>
      <c r="F46" s="180"/>
      <c r="G46" s="180"/>
      <c r="H46" s="194"/>
      <c r="I46" s="194"/>
    </row>
    <row r="47" spans="1:9" ht="15.75" thickBot="1">
      <c r="A47" s="100"/>
      <c r="C47" s="183"/>
      <c r="D47" s="184"/>
      <c r="E47" s="180"/>
      <c r="F47" s="180"/>
      <c r="G47" s="180"/>
      <c r="H47" s="194"/>
      <c r="I47" s="194"/>
    </row>
    <row r="48" spans="1:9" ht="15.75" thickBot="1">
      <c r="A48" s="100"/>
      <c r="C48" s="181" t="str">
        <f>general!AG87</f>
        <v>Datum:</v>
      </c>
      <c r="D48" s="182"/>
      <c r="E48" s="185"/>
      <c r="F48" s="185"/>
      <c r="G48" s="185"/>
      <c r="H48" s="194"/>
      <c r="I48" s="194"/>
    </row>
    <row r="49" spans="1:9" ht="15.75" thickBot="1">
      <c r="A49" s="101"/>
      <c r="B49" s="1"/>
      <c r="C49" s="183"/>
      <c r="D49" s="184"/>
      <c r="E49" s="185"/>
      <c r="F49" s="185"/>
      <c r="G49" s="185"/>
      <c r="H49" s="194"/>
      <c r="I49" s="194"/>
    </row>
  </sheetData>
  <sheetProtection algorithmName="SHA-512" hashValue="tlk8uvwyOZfmmaiz36YmFAdHBQuYqMf+iOQb2WxY21WTV2UePYOnz0n0A4sLpnTaA1bEoUfdAMY5KYv/w9qRwQ==" saltValue="7H0D3TrVOMtWt0+bUbzeNg==" spinCount="100000" sheet="1" objects="1" selectLockedCells="1"/>
  <mergeCells count="13">
    <mergeCell ref="E46:G47"/>
    <mergeCell ref="C48:D49"/>
    <mergeCell ref="E48:G49"/>
    <mergeCell ref="I1:I12"/>
    <mergeCell ref="A6:A10"/>
    <mergeCell ref="A16:A21"/>
    <mergeCell ref="C40:I41"/>
    <mergeCell ref="C42:D43"/>
    <mergeCell ref="E42:G43"/>
    <mergeCell ref="H42:I49"/>
    <mergeCell ref="C44:D45"/>
    <mergeCell ref="E44:G45"/>
    <mergeCell ref="C46:D4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2C405-06EB-4170-9150-9B83688361C0}">
  <sheetPr codeName="List5"/>
  <dimension ref="A1:I49"/>
  <sheetViews>
    <sheetView showGridLines="0" view="pageBreakPreview" topLeftCell="A105" zoomScaleNormal="100" zoomScaleSheetLayoutView="100" workbookViewId="0">
      <selection activeCell="L38" sqref="L38"/>
    </sheetView>
  </sheetViews>
  <sheetFormatPr baseColWidth="10" defaultColWidth="9.140625" defaultRowHeight="15"/>
  <sheetData>
    <row r="1" spans="1:9">
      <c r="A1" s="95"/>
      <c r="B1" s="96"/>
      <c r="C1" s="96"/>
      <c r="D1" s="96"/>
      <c r="E1" s="96"/>
      <c r="F1" s="96"/>
      <c r="G1" s="96"/>
      <c r="H1" s="96"/>
      <c r="I1" s="186"/>
    </row>
    <row r="2" spans="1:9">
      <c r="A2" s="25"/>
      <c r="B2" s="26"/>
      <c r="C2" s="26"/>
      <c r="D2" s="26"/>
      <c r="E2" s="26"/>
      <c r="F2" s="26"/>
      <c r="G2" s="26"/>
      <c r="H2" s="26"/>
      <c r="I2" s="187"/>
    </row>
    <row r="3" spans="1:9">
      <c r="A3" s="25"/>
      <c r="B3" s="26"/>
      <c r="C3" s="30"/>
      <c r="D3" s="26"/>
      <c r="E3" s="26"/>
      <c r="F3" s="26"/>
      <c r="G3" s="26"/>
      <c r="H3" s="26"/>
      <c r="I3" s="187"/>
    </row>
    <row r="4" spans="1:9">
      <c r="A4" s="25"/>
      <c r="B4" s="29"/>
      <c r="C4" s="26"/>
      <c r="D4" s="26"/>
      <c r="E4" s="26"/>
      <c r="F4" s="26"/>
      <c r="G4" s="26"/>
      <c r="H4" s="26"/>
      <c r="I4" s="187"/>
    </row>
    <row r="5" spans="1:9">
      <c r="A5" s="25"/>
      <c r="B5" s="26"/>
      <c r="C5" s="26"/>
      <c r="D5" s="26"/>
      <c r="E5" s="26"/>
      <c r="F5" s="26"/>
      <c r="G5" s="26"/>
      <c r="H5" s="26"/>
      <c r="I5" s="187"/>
    </row>
    <row r="6" spans="1:9">
      <c r="A6" s="116"/>
      <c r="B6" s="26"/>
      <c r="C6" s="26"/>
      <c r="D6" s="26"/>
      <c r="E6" s="26"/>
      <c r="F6" s="26"/>
      <c r="G6" s="26"/>
      <c r="H6" s="26"/>
      <c r="I6" s="187"/>
    </row>
    <row r="7" spans="1:9">
      <c r="A7" s="116"/>
      <c r="B7" s="26"/>
      <c r="C7" s="26"/>
      <c r="D7" s="26"/>
      <c r="E7" s="26"/>
      <c r="F7" s="26"/>
      <c r="G7" s="26"/>
      <c r="H7" s="26"/>
      <c r="I7" s="187"/>
    </row>
    <row r="8" spans="1:9">
      <c r="A8" s="116"/>
      <c r="B8" s="26"/>
      <c r="C8" s="26"/>
      <c r="D8" s="26"/>
      <c r="E8" s="26"/>
      <c r="F8" s="26"/>
      <c r="G8" s="26"/>
      <c r="H8" s="26"/>
      <c r="I8" s="187"/>
    </row>
    <row r="9" spans="1:9">
      <c r="A9" s="116"/>
      <c r="B9" s="26"/>
      <c r="C9" s="26"/>
      <c r="D9" s="26"/>
      <c r="E9" s="26"/>
      <c r="F9" s="26"/>
      <c r="G9" s="26"/>
      <c r="H9" s="26"/>
      <c r="I9" s="187"/>
    </row>
    <row r="10" spans="1:9">
      <c r="A10" s="116"/>
      <c r="B10" s="26"/>
      <c r="C10" s="26"/>
      <c r="D10" s="26"/>
      <c r="E10" s="26"/>
      <c r="F10" s="26"/>
      <c r="G10" s="26"/>
      <c r="H10" s="26"/>
      <c r="I10" s="187"/>
    </row>
    <row r="11" spans="1:9">
      <c r="A11" s="25"/>
      <c r="B11" s="26"/>
      <c r="C11" s="26"/>
      <c r="D11" s="26"/>
      <c r="E11" s="26"/>
      <c r="F11" s="26"/>
      <c r="G11" s="26"/>
      <c r="H11" s="26"/>
      <c r="I11" s="187"/>
    </row>
    <row r="12" spans="1:9">
      <c r="A12" s="25"/>
      <c r="B12" s="26"/>
      <c r="C12" s="26"/>
      <c r="D12" s="26"/>
      <c r="E12" s="26"/>
      <c r="F12" s="26"/>
      <c r="G12" s="26"/>
      <c r="H12" s="26"/>
      <c r="I12" s="187"/>
    </row>
    <row r="13" spans="1:9">
      <c r="A13" s="25"/>
      <c r="B13" s="26"/>
      <c r="C13" s="26"/>
      <c r="D13" s="26"/>
      <c r="E13" s="26"/>
      <c r="F13" s="26"/>
      <c r="G13" s="26"/>
      <c r="H13" s="26"/>
      <c r="I13" s="97"/>
    </row>
    <row r="14" spans="1:9">
      <c r="A14" s="25"/>
      <c r="B14" s="26"/>
      <c r="C14" s="26"/>
      <c r="D14" s="26"/>
      <c r="E14" s="26"/>
      <c r="F14" s="26"/>
      <c r="G14" s="26"/>
      <c r="H14" s="26"/>
      <c r="I14" s="97"/>
    </row>
    <row r="15" spans="1:9">
      <c r="A15" s="98"/>
      <c r="B15" s="26"/>
      <c r="C15" s="26"/>
      <c r="D15" s="26"/>
      <c r="E15" s="26"/>
      <c r="F15" s="26"/>
      <c r="G15" s="26"/>
      <c r="H15" s="26"/>
      <c r="I15" s="99"/>
    </row>
    <row r="16" spans="1:9">
      <c r="A16" s="116"/>
      <c r="B16" s="26"/>
      <c r="C16" s="26"/>
      <c r="D16" s="26"/>
      <c r="E16" s="26"/>
      <c r="F16" s="26"/>
      <c r="G16" s="26"/>
      <c r="H16" s="26"/>
      <c r="I16" s="99"/>
    </row>
    <row r="17" spans="1:9">
      <c r="A17" s="116"/>
      <c r="B17" s="26"/>
      <c r="C17" s="26"/>
      <c r="D17" s="26"/>
      <c r="E17" s="26"/>
      <c r="F17" s="26"/>
      <c r="G17" s="26"/>
      <c r="H17" s="26"/>
      <c r="I17" s="99"/>
    </row>
    <row r="18" spans="1:9">
      <c r="A18" s="116"/>
      <c r="B18" s="26"/>
      <c r="C18" s="26"/>
      <c r="D18" s="26"/>
      <c r="E18" s="26"/>
      <c r="F18" s="26"/>
      <c r="G18" s="26"/>
      <c r="H18" s="26"/>
      <c r="I18" s="99"/>
    </row>
    <row r="19" spans="1:9">
      <c r="A19" s="116"/>
      <c r="B19" s="26"/>
      <c r="C19" s="26"/>
      <c r="D19" s="26"/>
      <c r="E19" s="26"/>
      <c r="F19" s="26"/>
      <c r="G19" s="26"/>
      <c r="H19" s="26"/>
      <c r="I19" s="99"/>
    </row>
    <row r="20" spans="1:9">
      <c r="A20" s="116"/>
      <c r="B20" s="26"/>
      <c r="C20" s="26"/>
      <c r="D20" s="26"/>
      <c r="E20" s="26"/>
      <c r="F20" s="26"/>
      <c r="G20" s="26"/>
      <c r="H20" s="26"/>
      <c r="I20" s="99"/>
    </row>
    <row r="21" spans="1:9">
      <c r="A21" s="116"/>
      <c r="B21" s="26"/>
      <c r="C21" s="26"/>
      <c r="D21" s="26"/>
      <c r="E21" s="26"/>
      <c r="F21" s="26"/>
      <c r="G21" s="26"/>
      <c r="H21" s="26"/>
      <c r="I21" s="99"/>
    </row>
    <row r="22" spans="1:9">
      <c r="A22" s="25"/>
      <c r="B22" s="26"/>
      <c r="C22" s="26"/>
      <c r="D22" s="26"/>
      <c r="E22" s="26"/>
      <c r="F22" s="26"/>
      <c r="G22" s="26"/>
      <c r="H22" s="26"/>
      <c r="I22" s="99"/>
    </row>
    <row r="23" spans="1:9">
      <c r="A23" s="25"/>
      <c r="B23" s="26"/>
      <c r="C23" s="26"/>
      <c r="D23" s="26"/>
      <c r="E23" s="26"/>
      <c r="F23" s="26"/>
      <c r="G23" s="26"/>
      <c r="H23" s="26"/>
      <c r="I23" s="99"/>
    </row>
    <row r="24" spans="1:9">
      <c r="A24" s="25"/>
      <c r="B24" s="26"/>
      <c r="C24" s="26"/>
      <c r="D24" s="26"/>
      <c r="E24" s="26"/>
      <c r="F24" s="26"/>
      <c r="G24" s="26"/>
      <c r="H24" s="26"/>
      <c r="I24" s="99"/>
    </row>
    <row r="25" spans="1:9">
      <c r="A25" s="25"/>
      <c r="B25" s="26"/>
      <c r="C25" s="26"/>
      <c r="D25" s="26"/>
      <c r="E25" s="26"/>
      <c r="F25" s="26"/>
      <c r="G25" s="26"/>
      <c r="H25" s="26"/>
      <c r="I25" s="99"/>
    </row>
    <row r="26" spans="1:9">
      <c r="A26" s="25"/>
      <c r="B26" s="26"/>
      <c r="C26" s="26"/>
      <c r="D26" s="26"/>
      <c r="E26" s="26"/>
      <c r="F26" s="26"/>
      <c r="G26" s="26"/>
      <c r="H26" s="26"/>
      <c r="I26" s="99"/>
    </row>
    <row r="27" spans="1:9">
      <c r="A27" s="25"/>
      <c r="B27" s="26"/>
      <c r="C27" s="26"/>
      <c r="D27" s="30"/>
      <c r="E27" s="26"/>
      <c r="F27" s="26"/>
      <c r="G27" s="30"/>
      <c r="H27" s="26"/>
      <c r="I27" s="99"/>
    </row>
    <row r="28" spans="1:9">
      <c r="A28" s="25"/>
      <c r="B28" s="26"/>
      <c r="C28" s="26"/>
      <c r="D28" s="26"/>
      <c r="E28" s="26"/>
      <c r="F28" s="30"/>
      <c r="G28" s="26"/>
      <c r="H28" s="26"/>
      <c r="I28" s="99"/>
    </row>
    <row r="29" spans="1:9">
      <c r="A29" s="25"/>
      <c r="B29" s="26"/>
      <c r="C29" s="26"/>
      <c r="D29" s="26"/>
      <c r="E29" s="26"/>
      <c r="F29" s="30"/>
      <c r="G29" s="26"/>
      <c r="H29" s="26"/>
      <c r="I29" s="99"/>
    </row>
    <row r="30" spans="1:9">
      <c r="A30" s="25"/>
      <c r="B30" s="26"/>
      <c r="C30" s="26"/>
      <c r="D30" s="26"/>
      <c r="E30" s="26"/>
      <c r="F30" s="26"/>
      <c r="G30" s="26"/>
      <c r="H30" s="26"/>
      <c r="I30" s="99"/>
    </row>
    <row r="31" spans="1:9">
      <c r="A31" s="25"/>
      <c r="B31" s="26"/>
      <c r="C31" s="26"/>
      <c r="D31" s="26"/>
      <c r="E31" s="26"/>
      <c r="F31" s="26"/>
      <c r="G31" s="26"/>
      <c r="H31" s="26"/>
      <c r="I31" s="99"/>
    </row>
    <row r="32" spans="1:9">
      <c r="A32" s="25"/>
      <c r="B32" s="26"/>
      <c r="C32" s="26"/>
      <c r="D32" s="26"/>
      <c r="E32" s="26"/>
      <c r="F32" s="26"/>
      <c r="G32" s="26"/>
      <c r="H32" s="26"/>
      <c r="I32" s="99"/>
    </row>
    <row r="33" spans="1:9">
      <c r="A33" s="25"/>
      <c r="B33" s="26"/>
      <c r="C33" s="26"/>
      <c r="D33" s="26"/>
      <c r="E33" s="26"/>
      <c r="F33" s="26"/>
      <c r="G33" s="26"/>
      <c r="H33" s="26"/>
      <c r="I33" s="99"/>
    </row>
    <row r="34" spans="1:9">
      <c r="A34" s="25"/>
      <c r="B34" s="26"/>
      <c r="C34" s="26"/>
      <c r="D34" s="26"/>
      <c r="E34" s="26"/>
      <c r="F34" s="26"/>
      <c r="G34" s="26"/>
      <c r="H34" s="26"/>
      <c r="I34" s="99"/>
    </row>
    <row r="35" spans="1:9">
      <c r="A35" s="25"/>
      <c r="B35" s="26"/>
      <c r="C35" s="26"/>
      <c r="D35" s="26"/>
      <c r="E35" s="26"/>
      <c r="F35" s="26"/>
      <c r="G35" s="26"/>
      <c r="H35" s="26"/>
      <c r="I35" s="99"/>
    </row>
    <row r="36" spans="1:9">
      <c r="A36" s="100"/>
      <c r="I36" s="5"/>
    </row>
    <row r="37" spans="1:9">
      <c r="A37" s="100"/>
      <c r="I37" s="5"/>
    </row>
    <row r="38" spans="1:9">
      <c r="A38" s="100"/>
      <c r="I38" s="5"/>
    </row>
    <row r="39" spans="1:9" ht="15.75" thickBot="1">
      <c r="A39" s="100"/>
      <c r="I39" s="5"/>
    </row>
    <row r="40" spans="1:9">
      <c r="A40" s="100"/>
      <c r="C40" s="188" t="str">
        <f>general!Q2</f>
        <v>HÖHERGEFÜHRTER BESCHLAG (HL-1T)</v>
      </c>
      <c r="D40" s="189"/>
      <c r="E40" s="189"/>
      <c r="F40" s="189"/>
      <c r="G40" s="189"/>
      <c r="H40" s="189"/>
      <c r="I40" s="190"/>
    </row>
    <row r="41" spans="1:9" ht="15.75" thickBot="1">
      <c r="A41" s="100"/>
      <c r="C41" s="191"/>
      <c r="D41" s="192"/>
      <c r="E41" s="192"/>
      <c r="F41" s="192"/>
      <c r="G41" s="192"/>
      <c r="H41" s="192"/>
      <c r="I41" s="193"/>
    </row>
    <row r="42" spans="1:9" ht="15.75" thickBot="1">
      <c r="A42" s="100"/>
      <c r="C42" s="181" t="str">
        <f>general!AG99</f>
        <v>Bedienung</v>
      </c>
      <c r="D42" s="182"/>
      <c r="E42" s="188" t="str">
        <f>general!AG100</f>
        <v>hand</v>
      </c>
      <c r="F42" s="189"/>
      <c r="G42" s="190"/>
      <c r="H42" s="194"/>
      <c r="I42" s="194"/>
    </row>
    <row r="43" spans="1:9" ht="15.75" thickBot="1">
      <c r="A43" s="100"/>
      <c r="C43" s="183"/>
      <c r="D43" s="184"/>
      <c r="E43" s="191"/>
      <c r="F43" s="192"/>
      <c r="G43" s="193"/>
      <c r="H43" s="194"/>
      <c r="I43" s="194"/>
    </row>
    <row r="44" spans="1:9" ht="15.75" thickBot="1">
      <c r="A44" s="100"/>
      <c r="C44" s="181" t="str">
        <f>general!AG83</f>
        <v>Aufgestellt:</v>
      </c>
      <c r="D44" s="182"/>
      <c r="E44" s="180"/>
      <c r="F44" s="180"/>
      <c r="G44" s="180"/>
      <c r="H44" s="194"/>
      <c r="I44" s="194"/>
    </row>
    <row r="45" spans="1:9" ht="15.75" thickBot="1">
      <c r="A45" s="100"/>
      <c r="C45" s="183"/>
      <c r="D45" s="184"/>
      <c r="E45" s="180"/>
      <c r="F45" s="180"/>
      <c r="G45" s="180"/>
      <c r="H45" s="194"/>
      <c r="I45" s="194"/>
    </row>
    <row r="46" spans="1:9" ht="15.75" thickBot="1">
      <c r="A46" s="100"/>
      <c r="C46" s="181" t="str">
        <f>general!AG84</f>
        <v>Bereinigt:</v>
      </c>
      <c r="D46" s="182"/>
      <c r="E46" s="180"/>
      <c r="F46" s="180"/>
      <c r="G46" s="180"/>
      <c r="H46" s="194"/>
      <c r="I46" s="194"/>
    </row>
    <row r="47" spans="1:9" ht="15.75" thickBot="1">
      <c r="A47" s="100"/>
      <c r="C47" s="183"/>
      <c r="D47" s="184"/>
      <c r="E47" s="180"/>
      <c r="F47" s="180"/>
      <c r="G47" s="180"/>
      <c r="H47" s="194"/>
      <c r="I47" s="194"/>
    </row>
    <row r="48" spans="1:9" ht="15.75" thickBot="1">
      <c r="A48" s="100"/>
      <c r="C48" s="181" t="str">
        <f>general!AG87</f>
        <v>Datum:</v>
      </c>
      <c r="D48" s="182"/>
      <c r="E48" s="185"/>
      <c r="F48" s="185"/>
      <c r="G48" s="185"/>
      <c r="H48" s="194"/>
      <c r="I48" s="194"/>
    </row>
    <row r="49" spans="1:9" ht="15.75" thickBot="1">
      <c r="A49" s="101"/>
      <c r="B49" s="1"/>
      <c r="C49" s="183"/>
      <c r="D49" s="184"/>
      <c r="E49" s="185"/>
      <c r="F49" s="185"/>
      <c r="G49" s="185"/>
      <c r="H49" s="194"/>
      <c r="I49" s="194"/>
    </row>
  </sheetData>
  <sheetProtection algorithmName="SHA-512" hashValue="+iwvXDPc5BwFknjoQWJS7RAzZQm88QraTLpfVr/1A05UNHzgoOh+b2OPByYoDrveOO0psTOndC1iIoTSmp2A7w==" saltValue="1De/lAT0m7YKpYGVoOnSCQ==" spinCount="100000" sheet="1" objects="1" scenarios="1"/>
  <mergeCells count="13">
    <mergeCell ref="E46:G47"/>
    <mergeCell ref="C48:D49"/>
    <mergeCell ref="E48:G49"/>
    <mergeCell ref="I1:I12"/>
    <mergeCell ref="A6:A10"/>
    <mergeCell ref="A16:A21"/>
    <mergeCell ref="C40:I41"/>
    <mergeCell ref="C42:D43"/>
    <mergeCell ref="E42:G43"/>
    <mergeCell ref="H42:I49"/>
    <mergeCell ref="C44:D45"/>
    <mergeCell ref="E44:G45"/>
    <mergeCell ref="C46:D4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34984-49DC-464C-97C4-F183CBEA6444}">
  <sheetPr codeName="List4"/>
  <dimension ref="D6:AE152"/>
  <sheetViews>
    <sheetView topLeftCell="A60" zoomScale="85" zoomScaleNormal="85" workbookViewId="0">
      <selection activeCell="L75" sqref="L75"/>
    </sheetView>
  </sheetViews>
  <sheetFormatPr baseColWidth="10" defaultColWidth="9.140625" defaultRowHeight="15"/>
  <cols>
    <col min="18" max="18" width="10.85546875" bestFit="1" customWidth="1"/>
    <col min="21" max="21" width="11" customWidth="1"/>
    <col min="22" max="22" width="18.5703125" bestFit="1" customWidth="1"/>
    <col min="24" max="24" width="2.42578125" customWidth="1"/>
    <col min="25" max="25" width="37.7109375" customWidth="1"/>
    <col min="26" max="26" width="19.7109375" customWidth="1"/>
  </cols>
  <sheetData>
    <row r="6" spans="14:31">
      <c r="Y6" s="197" t="s">
        <v>798</v>
      </c>
      <c r="Z6" s="198"/>
      <c r="AA6" s="198"/>
      <c r="AB6" s="198"/>
      <c r="AC6" s="198"/>
      <c r="AD6" s="198"/>
      <c r="AE6" s="199"/>
    </row>
    <row r="7" spans="14:31">
      <c r="Y7" s="200"/>
      <c r="Z7" s="201"/>
      <c r="AA7" s="201"/>
      <c r="AB7" s="201"/>
      <c r="AC7" s="201"/>
      <c r="AD7" s="201"/>
      <c r="AE7" s="202"/>
    </row>
    <row r="8" spans="14:31">
      <c r="Y8" s="200"/>
      <c r="Z8" s="201"/>
      <c r="AA8" s="201"/>
      <c r="AB8" s="201"/>
      <c r="AC8" s="201"/>
      <c r="AD8" s="201"/>
      <c r="AE8" s="202"/>
    </row>
    <row r="9" spans="14:31">
      <c r="Y9" s="102"/>
      <c r="AE9" s="103"/>
    </row>
    <row r="10" spans="14:31">
      <c r="R10" t="b">
        <f>IF(OR(general!K9=general!AG106,general!K9=general!AG103),"")</f>
        <v>0</v>
      </c>
      <c r="Y10" s="102"/>
      <c r="AE10" s="103"/>
    </row>
    <row r="11" spans="14:31">
      <c r="Y11" s="102"/>
      <c r="AB11">
        <f>IF(general!K9=general!AG100,280+280,IF(OR(general!K9=general!AG102,general!K9=general!AG103),360+280,430+280))</f>
        <v>710</v>
      </c>
      <c r="AE11" s="103"/>
    </row>
    <row r="12" spans="14:31">
      <c r="Y12" s="102" t="s">
        <v>799</v>
      </c>
      <c r="Z12">
        <v>4500</v>
      </c>
      <c r="AE12" s="103"/>
    </row>
    <row r="13" spans="14:31">
      <c r="Y13" s="102" t="s">
        <v>800</v>
      </c>
      <c r="Z13" t="str">
        <f>IF(OR(general!K3="",general!K7=""),"L + W + R ","L + W + R = " &amp; general!K3 +AB11)</f>
        <v xml:space="preserve">L + W + R </v>
      </c>
      <c r="AE13" s="103"/>
    </row>
    <row r="14" spans="14:31">
      <c r="Y14" s="102"/>
      <c r="AE14" s="103"/>
    </row>
    <row r="15" spans="14:31">
      <c r="Y15" s="102"/>
      <c r="AE15" s="103"/>
    </row>
    <row r="16" spans="14:31">
      <c r="N16" s="104"/>
      <c r="O16" s="104"/>
      <c r="P16" s="104"/>
      <c r="Q16" s="104"/>
      <c r="R16" s="104"/>
      <c r="S16" s="104"/>
      <c r="T16" s="104"/>
      <c r="U16" s="104"/>
      <c r="Y16" s="105" t="s">
        <v>801</v>
      </c>
      <c r="Z16" t="str">
        <f>IF(OR(general!K9=general!AG106,general!K9=general!AG103),"",IF(general!K9=general!AG105,"L = " &amp; 430,IF(general!K9=general!AG102,"L = " &amp; 360,"")))</f>
        <v/>
      </c>
      <c r="AA16" t="str">
        <f>IF(OR(general!L9=general!AH106,general!L9=general!AH103),"",IF(general!L9=general!AH105,"L = " &amp; 430,IF(general!L9=general!AH102,"L = " &amp; 360,"")))</f>
        <v/>
      </c>
      <c r="AE16" s="103"/>
    </row>
    <row r="17" spans="4:31">
      <c r="N17" s="104"/>
      <c r="O17" s="104"/>
      <c r="P17" s="104"/>
      <c r="Q17" s="104"/>
      <c r="R17" s="104"/>
      <c r="S17" s="104"/>
      <c r="T17" s="104"/>
      <c r="U17" s="104"/>
      <c r="Y17" s="106" t="s">
        <v>802</v>
      </c>
      <c r="Z17" t="str">
        <f>IF(OR(general!K9=general!AG102,general!K9=general!AG105),"",IF(general!K9=general!AG106,"R = " &amp; 430,IF(general!K9=general!AG103,"R = " &amp; 360,"")))</f>
        <v/>
      </c>
      <c r="AA17" t="str">
        <f>IF(OR(general!K9=general!AG102,general!K9=general!AG105),"",IF(general!K9=general!AG106,"R = " &amp; 430,IF(general!K9=general!AG103,"R = " &amp; 360,"")))</f>
        <v/>
      </c>
      <c r="AE17" s="103"/>
    </row>
    <row r="18" spans="4:31">
      <c r="N18" s="104"/>
      <c r="O18" s="104"/>
      <c r="P18" s="104"/>
      <c r="Q18" s="104"/>
      <c r="R18" s="104"/>
      <c r="S18" s="104"/>
      <c r="T18" s="104"/>
      <c r="U18" s="104"/>
      <c r="Y18" s="107" t="s">
        <v>803</v>
      </c>
      <c r="Z18" t="str">
        <f>general!L59</f>
        <v/>
      </c>
      <c r="AE18" s="103"/>
    </row>
    <row r="19" spans="4:31">
      <c r="Y19" s="102"/>
      <c r="Z19">
        <v>280</v>
      </c>
      <c r="AE19" s="103"/>
    </row>
    <row r="20" spans="4:31" ht="15" customHeight="1">
      <c r="D20" s="195" t="str">
        <f>general!AG106</f>
        <v>Antrieb - rechts</v>
      </c>
      <c r="E20" s="196"/>
      <c r="F20" s="196"/>
      <c r="G20" s="196"/>
      <c r="H20" s="196"/>
      <c r="I20" s="196"/>
      <c r="J20" s="196"/>
      <c r="K20" s="196"/>
      <c r="Y20" s="108"/>
      <c r="Z20" s="109">
        <f>IF(OR(general!K11=general!AG112,general!$K$11=""),250,290)</f>
        <v>250</v>
      </c>
      <c r="AE20" s="103"/>
    </row>
    <row r="21" spans="4:31">
      <c r="D21" s="195"/>
      <c r="E21" s="196"/>
      <c r="F21" s="196"/>
      <c r="G21" s="196"/>
      <c r="H21" s="196"/>
      <c r="I21" s="196"/>
      <c r="J21" s="196"/>
      <c r="K21" s="196"/>
      <c r="Y21" s="110"/>
      <c r="Z21" s="111" t="str">
        <f>IF(general!K5="","",IF(general!K5&lt;5500,160,200))</f>
        <v/>
      </c>
      <c r="AA21" s="111"/>
      <c r="AB21" s="111"/>
      <c r="AC21" s="111"/>
      <c r="AD21" s="111"/>
      <c r="AE21" s="112"/>
    </row>
    <row r="22" spans="4:31">
      <c r="D22" s="195"/>
      <c r="E22" s="196"/>
      <c r="F22" s="196"/>
      <c r="G22" s="196"/>
      <c r="H22" s="196"/>
      <c r="I22" s="196"/>
      <c r="J22" s="196"/>
      <c r="K22" s="196"/>
      <c r="Y22" t="s">
        <v>804</v>
      </c>
      <c r="Z22">
        <f>(general!K3*general!K5)/1000</f>
        <v>0</v>
      </c>
    </row>
    <row r="23" spans="4:31">
      <c r="D23" s="195"/>
      <c r="E23" s="196"/>
      <c r="F23" s="196"/>
      <c r="G23" s="196"/>
      <c r="H23" s="196"/>
      <c r="I23" s="196"/>
      <c r="J23" s="196"/>
      <c r="K23" s="196"/>
      <c r="X23" s="113"/>
    </row>
    <row r="24" spans="4:31">
      <c r="D24" s="195"/>
      <c r="E24" s="196"/>
      <c r="F24" s="196"/>
      <c r="G24" s="196"/>
      <c r="H24" s="196"/>
      <c r="I24" s="196"/>
      <c r="J24" s="196"/>
      <c r="K24" s="196"/>
    </row>
    <row r="25" spans="4:31">
      <c r="D25" s="195"/>
      <c r="E25" s="196"/>
      <c r="F25" s="196"/>
      <c r="G25" s="196"/>
      <c r="H25" s="196"/>
      <c r="I25" s="196"/>
      <c r="J25" s="196"/>
      <c r="K25" s="196"/>
    </row>
    <row r="26" spans="4:31">
      <c r="D26" s="195"/>
      <c r="E26" s="196"/>
      <c r="F26" s="196"/>
      <c r="G26" s="196"/>
      <c r="H26" s="196"/>
      <c r="I26" s="196"/>
      <c r="J26" s="196"/>
      <c r="K26" s="196"/>
    </row>
    <row r="27" spans="4:31">
      <c r="D27" s="195"/>
      <c r="E27" s="196"/>
      <c r="F27" s="196"/>
      <c r="G27" s="196"/>
      <c r="H27" s="196"/>
      <c r="I27" s="196"/>
      <c r="J27" s="196"/>
      <c r="K27" s="196"/>
    </row>
    <row r="28" spans="4:31">
      <c r="D28" s="195"/>
      <c r="E28" s="196"/>
      <c r="F28" s="196"/>
      <c r="G28" s="196"/>
      <c r="H28" s="196"/>
      <c r="I28" s="196"/>
      <c r="J28" s="196"/>
      <c r="K28" s="196"/>
      <c r="L28" s="114"/>
    </row>
    <row r="29" spans="4:31">
      <c r="D29" s="195"/>
      <c r="E29" s="196"/>
      <c r="F29" s="196"/>
      <c r="G29" s="196"/>
      <c r="H29" s="196"/>
      <c r="I29" s="196"/>
      <c r="J29" s="196"/>
      <c r="K29" s="196"/>
    </row>
    <row r="30" spans="4:31">
      <c r="D30" s="195"/>
      <c r="E30" s="196"/>
      <c r="F30" s="196"/>
      <c r="G30" s="196"/>
      <c r="H30" s="196"/>
      <c r="I30" s="196"/>
      <c r="J30" s="196"/>
      <c r="K30" s="196"/>
    </row>
    <row r="31" spans="4:31">
      <c r="D31" s="195"/>
      <c r="E31" s="196"/>
      <c r="F31" s="196"/>
      <c r="G31" s="196"/>
      <c r="H31" s="196"/>
      <c r="I31" s="196"/>
      <c r="J31" s="196"/>
      <c r="K31" s="196"/>
    </row>
    <row r="32" spans="4:31">
      <c r="D32" s="195"/>
      <c r="E32" s="196"/>
      <c r="F32" s="196"/>
      <c r="G32" s="196"/>
      <c r="H32" s="196"/>
      <c r="I32" s="196"/>
      <c r="J32" s="196"/>
      <c r="K32" s="196"/>
    </row>
    <row r="33" spans="4:11">
      <c r="D33" s="195"/>
      <c r="E33" s="196"/>
      <c r="F33" s="196"/>
      <c r="G33" s="196"/>
      <c r="H33" s="196"/>
      <c r="I33" s="196"/>
      <c r="J33" s="196"/>
      <c r="K33" s="196"/>
    </row>
    <row r="34" spans="4:11">
      <c r="D34" s="195"/>
      <c r="E34" s="196"/>
      <c r="F34" s="196"/>
      <c r="G34" s="196"/>
      <c r="H34" s="196"/>
      <c r="I34" s="196"/>
      <c r="J34" s="196"/>
      <c r="K34" s="196"/>
    </row>
    <row r="35" spans="4:11">
      <c r="D35" s="195"/>
      <c r="E35" s="196"/>
      <c r="F35" s="196"/>
      <c r="G35" s="196"/>
      <c r="H35" s="196"/>
      <c r="I35" s="196"/>
      <c r="J35" s="196"/>
      <c r="K35" s="196"/>
    </row>
    <row r="36" spans="4:11">
      <c r="D36" s="195"/>
      <c r="E36" s="196"/>
      <c r="F36" s="196"/>
      <c r="G36" s="196"/>
      <c r="H36" s="196"/>
      <c r="I36" s="196"/>
      <c r="J36" s="196"/>
      <c r="K36" s="196"/>
    </row>
    <row r="37" spans="4:11">
      <c r="D37" s="195"/>
      <c r="E37" s="196"/>
      <c r="F37" s="196"/>
      <c r="G37" s="196"/>
      <c r="H37" s="196"/>
      <c r="I37" s="196"/>
      <c r="J37" s="196"/>
      <c r="K37" s="196"/>
    </row>
    <row r="38" spans="4:11">
      <c r="D38" s="195"/>
      <c r="E38" s="196"/>
      <c r="F38" s="196"/>
      <c r="G38" s="196"/>
      <c r="H38" s="196"/>
      <c r="I38" s="196"/>
      <c r="J38" s="196"/>
      <c r="K38" s="196"/>
    </row>
    <row r="39" spans="4:11">
      <c r="D39" s="195"/>
      <c r="E39" s="196"/>
      <c r="F39" s="196"/>
      <c r="G39" s="196"/>
      <c r="H39" s="196"/>
      <c r="I39" s="196"/>
      <c r="J39" s="196"/>
      <c r="K39" s="196"/>
    </row>
    <row r="40" spans="4:11">
      <c r="D40" s="195"/>
      <c r="E40" s="196"/>
      <c r="F40" s="196"/>
      <c r="G40" s="196"/>
      <c r="H40" s="196"/>
      <c r="I40" s="196"/>
      <c r="J40" s="196"/>
      <c r="K40" s="196"/>
    </row>
    <row r="41" spans="4:11">
      <c r="D41" s="195"/>
      <c r="E41" s="196"/>
      <c r="F41" s="196"/>
      <c r="G41" s="196"/>
      <c r="H41" s="196"/>
      <c r="I41" s="196"/>
      <c r="J41" s="196"/>
      <c r="K41" s="196"/>
    </row>
    <row r="42" spans="4:11">
      <c r="D42" s="195"/>
      <c r="E42" s="196"/>
      <c r="F42" s="196"/>
      <c r="G42" s="196"/>
      <c r="H42" s="196"/>
      <c r="I42" s="196"/>
      <c r="J42" s="196"/>
      <c r="K42" s="196"/>
    </row>
    <row r="43" spans="4:11">
      <c r="D43" s="195"/>
      <c r="E43" s="196"/>
      <c r="F43" s="196"/>
      <c r="G43" s="196"/>
      <c r="H43" s="196"/>
      <c r="I43" s="196"/>
      <c r="J43" s="196"/>
      <c r="K43" s="196"/>
    </row>
    <row r="44" spans="4:11">
      <c r="D44" s="195"/>
      <c r="E44" s="196"/>
      <c r="F44" s="196"/>
      <c r="G44" s="196"/>
      <c r="H44" s="196"/>
      <c r="I44" s="196"/>
      <c r="J44" s="196"/>
      <c r="K44" s="196"/>
    </row>
    <row r="45" spans="4:11">
      <c r="D45" s="115"/>
    </row>
    <row r="46" spans="4:11">
      <c r="D46" s="115"/>
    </row>
    <row r="47" spans="4:11" ht="15" customHeight="1">
      <c r="D47" s="195" t="str">
        <f>general!AG105</f>
        <v>Antrieb - links</v>
      </c>
      <c r="E47" s="196"/>
      <c r="F47" s="196"/>
      <c r="G47" s="196"/>
      <c r="H47" s="196"/>
      <c r="I47" s="196"/>
      <c r="J47" s="196"/>
      <c r="K47" s="196"/>
    </row>
    <row r="48" spans="4:11">
      <c r="D48" s="195"/>
      <c r="E48" s="196"/>
      <c r="F48" s="196"/>
      <c r="G48" s="196"/>
      <c r="H48" s="196"/>
      <c r="I48" s="196"/>
      <c r="J48" s="196"/>
      <c r="K48" s="196"/>
    </row>
    <row r="49" spans="4:11">
      <c r="D49" s="195"/>
      <c r="E49" s="196"/>
      <c r="F49" s="196"/>
      <c r="G49" s="196"/>
      <c r="H49" s="196"/>
      <c r="I49" s="196"/>
      <c r="J49" s="196"/>
      <c r="K49" s="196"/>
    </row>
    <row r="50" spans="4:11">
      <c r="D50" s="195"/>
      <c r="E50" s="196"/>
      <c r="F50" s="196"/>
      <c r="G50" s="196"/>
      <c r="H50" s="196"/>
      <c r="I50" s="196"/>
      <c r="J50" s="196"/>
      <c r="K50" s="196"/>
    </row>
    <row r="51" spans="4:11">
      <c r="D51" s="195"/>
      <c r="E51" s="196"/>
      <c r="F51" s="196"/>
      <c r="G51" s="196"/>
      <c r="H51" s="196"/>
      <c r="I51" s="196"/>
      <c r="J51" s="196"/>
      <c r="K51" s="196"/>
    </row>
    <row r="52" spans="4:11">
      <c r="D52" s="195"/>
      <c r="E52" s="196"/>
      <c r="F52" s="196"/>
      <c r="G52" s="196"/>
      <c r="H52" s="196"/>
      <c r="I52" s="196"/>
      <c r="J52" s="196"/>
      <c r="K52" s="196"/>
    </row>
    <row r="53" spans="4:11">
      <c r="D53" s="195"/>
      <c r="E53" s="196"/>
      <c r="F53" s="196"/>
      <c r="G53" s="196"/>
      <c r="H53" s="196"/>
      <c r="I53" s="196"/>
      <c r="J53" s="196"/>
      <c r="K53" s="196"/>
    </row>
    <row r="54" spans="4:11">
      <c r="D54" s="195"/>
      <c r="E54" s="196"/>
      <c r="F54" s="196"/>
      <c r="G54" s="196"/>
      <c r="H54" s="196"/>
      <c r="I54" s="196"/>
      <c r="J54" s="196"/>
      <c r="K54" s="196"/>
    </row>
    <row r="55" spans="4:11">
      <c r="D55" s="195"/>
      <c r="E55" s="196"/>
      <c r="F55" s="196"/>
      <c r="G55" s="196"/>
      <c r="H55" s="196"/>
      <c r="I55" s="196"/>
      <c r="J55" s="196"/>
      <c r="K55" s="196"/>
    </row>
    <row r="56" spans="4:11">
      <c r="D56" s="195"/>
      <c r="E56" s="196"/>
      <c r="F56" s="196"/>
      <c r="G56" s="196"/>
      <c r="H56" s="196"/>
      <c r="I56" s="196"/>
      <c r="J56" s="196"/>
      <c r="K56" s="196"/>
    </row>
    <row r="57" spans="4:11">
      <c r="D57" s="195"/>
      <c r="E57" s="196"/>
      <c r="F57" s="196"/>
      <c r="G57" s="196"/>
      <c r="H57" s="196"/>
      <c r="I57" s="196"/>
      <c r="J57" s="196"/>
      <c r="K57" s="196"/>
    </row>
    <row r="58" spans="4:11">
      <c r="D58" s="195"/>
      <c r="E58" s="196"/>
      <c r="F58" s="196"/>
      <c r="G58" s="196"/>
      <c r="H58" s="196"/>
      <c r="I58" s="196"/>
      <c r="J58" s="196"/>
      <c r="K58" s="196"/>
    </row>
    <row r="59" spans="4:11">
      <c r="D59" s="195"/>
      <c r="E59" s="196"/>
      <c r="F59" s="196"/>
      <c r="G59" s="196"/>
      <c r="H59" s="196"/>
      <c r="I59" s="196"/>
      <c r="J59" s="196"/>
      <c r="K59" s="196"/>
    </row>
    <row r="60" spans="4:11">
      <c r="D60" s="195"/>
      <c r="E60" s="196"/>
      <c r="F60" s="196"/>
      <c r="G60" s="196"/>
      <c r="H60" s="196"/>
      <c r="I60" s="196"/>
      <c r="J60" s="196"/>
      <c r="K60" s="196"/>
    </row>
    <row r="61" spans="4:11">
      <c r="D61" s="195"/>
      <c r="E61" s="196"/>
      <c r="F61" s="196"/>
      <c r="G61" s="196"/>
      <c r="H61" s="196"/>
      <c r="I61" s="196"/>
      <c r="J61" s="196"/>
      <c r="K61" s="196"/>
    </row>
    <row r="62" spans="4:11">
      <c r="D62" s="195"/>
      <c r="E62" s="196"/>
      <c r="F62" s="196"/>
      <c r="G62" s="196"/>
      <c r="H62" s="196"/>
      <c r="I62" s="196"/>
      <c r="J62" s="196"/>
      <c r="K62" s="196"/>
    </row>
    <row r="63" spans="4:11">
      <c r="D63" s="195"/>
      <c r="E63" s="196"/>
      <c r="F63" s="196"/>
      <c r="G63" s="196"/>
      <c r="H63" s="196"/>
      <c r="I63" s="196"/>
      <c r="J63" s="196"/>
      <c r="K63" s="196"/>
    </row>
    <row r="64" spans="4:11">
      <c r="D64" s="195"/>
      <c r="E64" s="196"/>
      <c r="F64" s="196"/>
      <c r="G64" s="196"/>
      <c r="H64" s="196"/>
      <c r="I64" s="196"/>
      <c r="J64" s="196"/>
      <c r="K64" s="196"/>
    </row>
    <row r="65" spans="4:11">
      <c r="D65" s="195"/>
      <c r="E65" s="196"/>
      <c r="F65" s="196"/>
      <c r="G65" s="196"/>
      <c r="H65" s="196"/>
      <c r="I65" s="196"/>
      <c r="J65" s="196"/>
      <c r="K65" s="196"/>
    </row>
    <row r="66" spans="4:11">
      <c r="D66" s="195"/>
      <c r="E66" s="196"/>
      <c r="F66" s="196"/>
      <c r="G66" s="196"/>
      <c r="H66" s="196"/>
      <c r="I66" s="196"/>
      <c r="J66" s="196"/>
      <c r="K66" s="196"/>
    </row>
    <row r="67" spans="4:11">
      <c r="D67" s="195"/>
      <c r="E67" s="196"/>
      <c r="F67" s="196"/>
      <c r="G67" s="196"/>
      <c r="H67" s="196"/>
      <c r="I67" s="196"/>
      <c r="J67" s="196"/>
      <c r="K67" s="196"/>
    </row>
    <row r="68" spans="4:11">
      <c r="D68" s="195"/>
      <c r="E68" s="196"/>
      <c r="F68" s="196"/>
      <c r="G68" s="196"/>
      <c r="H68" s="196"/>
      <c r="I68" s="196"/>
      <c r="J68" s="196"/>
      <c r="K68" s="196"/>
    </row>
    <row r="69" spans="4:11">
      <c r="D69" s="195"/>
      <c r="E69" s="196"/>
      <c r="F69" s="196"/>
      <c r="G69" s="196"/>
      <c r="H69" s="196"/>
      <c r="I69" s="196"/>
      <c r="J69" s="196"/>
      <c r="K69" s="196"/>
    </row>
    <row r="70" spans="4:11">
      <c r="D70" s="195"/>
      <c r="E70" s="196"/>
      <c r="F70" s="196"/>
      <c r="G70" s="196"/>
      <c r="H70" s="196"/>
      <c r="I70" s="196"/>
      <c r="J70" s="196"/>
      <c r="K70" s="196"/>
    </row>
    <row r="71" spans="4:11">
      <c r="D71" s="195"/>
      <c r="E71" s="196"/>
      <c r="F71" s="196"/>
      <c r="G71" s="196"/>
      <c r="H71" s="196"/>
      <c r="I71" s="196"/>
      <c r="J71" s="196"/>
      <c r="K71" s="196"/>
    </row>
    <row r="72" spans="4:11">
      <c r="D72" s="115"/>
    </row>
    <row r="73" spans="4:11">
      <c r="D73" s="115"/>
    </row>
    <row r="74" spans="4:11">
      <c r="D74" s="195" t="str">
        <f>general!AG102</f>
        <v>Haspelkette - links</v>
      </c>
      <c r="E74" s="196"/>
      <c r="F74" s="196"/>
      <c r="G74" s="196"/>
      <c r="H74" s="196"/>
      <c r="I74" s="196"/>
      <c r="J74" s="196"/>
      <c r="K74" s="196"/>
    </row>
    <row r="75" spans="4:11">
      <c r="D75" s="195"/>
      <c r="E75" s="196"/>
      <c r="F75" s="196"/>
      <c r="G75" s="196"/>
      <c r="H75" s="196"/>
      <c r="I75" s="196"/>
      <c r="J75" s="196"/>
      <c r="K75" s="196"/>
    </row>
    <row r="76" spans="4:11">
      <c r="D76" s="195"/>
      <c r="E76" s="196"/>
      <c r="F76" s="196"/>
      <c r="G76" s="196"/>
      <c r="H76" s="196"/>
      <c r="I76" s="196"/>
      <c r="J76" s="196"/>
      <c r="K76" s="196"/>
    </row>
    <row r="77" spans="4:11">
      <c r="D77" s="195"/>
      <c r="E77" s="196"/>
      <c r="F77" s="196"/>
      <c r="G77" s="196"/>
      <c r="H77" s="196"/>
      <c r="I77" s="196"/>
      <c r="J77" s="196"/>
      <c r="K77" s="196"/>
    </row>
    <row r="78" spans="4:11">
      <c r="D78" s="195"/>
      <c r="E78" s="196"/>
      <c r="F78" s="196"/>
      <c r="G78" s="196"/>
      <c r="H78" s="196"/>
      <c r="I78" s="196"/>
      <c r="J78" s="196"/>
      <c r="K78" s="196"/>
    </row>
    <row r="79" spans="4:11">
      <c r="D79" s="195"/>
      <c r="E79" s="196"/>
      <c r="F79" s="196"/>
      <c r="G79" s="196"/>
      <c r="H79" s="196"/>
      <c r="I79" s="196"/>
      <c r="J79" s="196"/>
      <c r="K79" s="196"/>
    </row>
    <row r="80" spans="4:11">
      <c r="D80" s="195"/>
      <c r="E80" s="196"/>
      <c r="F80" s="196"/>
      <c r="G80" s="196"/>
      <c r="H80" s="196"/>
      <c r="I80" s="196"/>
      <c r="J80" s="196"/>
      <c r="K80" s="196"/>
    </row>
    <row r="81" spans="4:11">
      <c r="D81" s="195"/>
      <c r="E81" s="196"/>
      <c r="F81" s="196"/>
      <c r="G81" s="196"/>
      <c r="H81" s="196"/>
      <c r="I81" s="196"/>
      <c r="J81" s="196"/>
      <c r="K81" s="196"/>
    </row>
    <row r="82" spans="4:11">
      <c r="D82" s="195"/>
      <c r="E82" s="196"/>
      <c r="F82" s="196"/>
      <c r="G82" s="196"/>
      <c r="H82" s="196"/>
      <c r="I82" s="196"/>
      <c r="J82" s="196"/>
      <c r="K82" s="196"/>
    </row>
    <row r="83" spans="4:11">
      <c r="D83" s="195"/>
      <c r="E83" s="196"/>
      <c r="F83" s="196"/>
      <c r="G83" s="196"/>
      <c r="H83" s="196"/>
      <c r="I83" s="196"/>
      <c r="J83" s="196"/>
      <c r="K83" s="196"/>
    </row>
    <row r="84" spans="4:11">
      <c r="D84" s="195"/>
      <c r="E84" s="196"/>
      <c r="F84" s="196"/>
      <c r="G84" s="196"/>
      <c r="H84" s="196"/>
      <c r="I84" s="196"/>
      <c r="J84" s="196"/>
      <c r="K84" s="196"/>
    </row>
    <row r="85" spans="4:11">
      <c r="D85" s="195"/>
      <c r="E85" s="196"/>
      <c r="F85" s="196"/>
      <c r="G85" s="196"/>
      <c r="H85" s="196"/>
      <c r="I85" s="196"/>
      <c r="J85" s="196"/>
      <c r="K85" s="196"/>
    </row>
    <row r="86" spans="4:11">
      <c r="D86" s="195"/>
      <c r="E86" s="196"/>
      <c r="F86" s="196"/>
      <c r="G86" s="196"/>
      <c r="H86" s="196"/>
      <c r="I86" s="196"/>
      <c r="J86" s="196"/>
      <c r="K86" s="196"/>
    </row>
    <row r="87" spans="4:11">
      <c r="D87" s="195"/>
      <c r="E87" s="196"/>
      <c r="F87" s="196"/>
      <c r="G87" s="196"/>
      <c r="H87" s="196"/>
      <c r="I87" s="196"/>
      <c r="J87" s="196"/>
      <c r="K87" s="196"/>
    </row>
    <row r="88" spans="4:11">
      <c r="D88" s="195"/>
      <c r="E88" s="196"/>
      <c r="F88" s="196"/>
      <c r="G88" s="196"/>
      <c r="H88" s="196"/>
      <c r="I88" s="196"/>
      <c r="J88" s="196"/>
      <c r="K88" s="196"/>
    </row>
    <row r="89" spans="4:11">
      <c r="D89" s="195"/>
      <c r="E89" s="196"/>
      <c r="F89" s="196"/>
      <c r="G89" s="196"/>
      <c r="H89" s="196"/>
      <c r="I89" s="196"/>
      <c r="J89" s="196"/>
      <c r="K89" s="196"/>
    </row>
    <row r="90" spans="4:11">
      <c r="D90" s="195"/>
      <c r="E90" s="196"/>
      <c r="F90" s="196"/>
      <c r="G90" s="196"/>
      <c r="H90" s="196"/>
      <c r="I90" s="196"/>
      <c r="J90" s="196"/>
      <c r="K90" s="196"/>
    </row>
    <row r="91" spans="4:11">
      <c r="D91" s="195"/>
      <c r="E91" s="196"/>
      <c r="F91" s="196"/>
      <c r="G91" s="196"/>
      <c r="H91" s="196"/>
      <c r="I91" s="196"/>
      <c r="J91" s="196"/>
      <c r="K91" s="196"/>
    </row>
    <row r="92" spans="4:11">
      <c r="D92" s="195"/>
      <c r="E92" s="196"/>
      <c r="F92" s="196"/>
      <c r="G92" s="196"/>
      <c r="H92" s="196"/>
      <c r="I92" s="196"/>
      <c r="J92" s="196"/>
      <c r="K92" s="196"/>
    </row>
    <row r="93" spans="4:11">
      <c r="D93" s="195"/>
      <c r="E93" s="196"/>
      <c r="F93" s="196"/>
      <c r="G93" s="196"/>
      <c r="H93" s="196"/>
      <c r="I93" s="196"/>
      <c r="J93" s="196"/>
      <c r="K93" s="196"/>
    </row>
    <row r="94" spans="4:11">
      <c r="D94" s="195"/>
      <c r="E94" s="196"/>
      <c r="F94" s="196"/>
      <c r="G94" s="196"/>
      <c r="H94" s="196"/>
      <c r="I94" s="196"/>
      <c r="J94" s="196"/>
      <c r="K94" s="196"/>
    </row>
    <row r="95" spans="4:11">
      <c r="D95" s="195"/>
      <c r="E95" s="196"/>
      <c r="F95" s="196"/>
      <c r="G95" s="196"/>
      <c r="H95" s="196"/>
      <c r="I95" s="196"/>
      <c r="J95" s="196"/>
      <c r="K95" s="196"/>
    </row>
    <row r="96" spans="4:11">
      <c r="D96" s="195"/>
      <c r="E96" s="196"/>
      <c r="F96" s="196"/>
      <c r="G96" s="196"/>
      <c r="H96" s="196"/>
      <c r="I96" s="196"/>
      <c r="J96" s="196"/>
      <c r="K96" s="196"/>
    </row>
    <row r="97" spans="4:11">
      <c r="D97" s="195"/>
      <c r="E97" s="196"/>
      <c r="F97" s="196"/>
      <c r="G97" s="196"/>
      <c r="H97" s="196"/>
      <c r="I97" s="196"/>
      <c r="J97" s="196"/>
      <c r="K97" s="196"/>
    </row>
    <row r="98" spans="4:11">
      <c r="D98" s="195"/>
      <c r="E98" s="196"/>
      <c r="F98" s="196"/>
      <c r="G98" s="196"/>
      <c r="H98" s="196"/>
      <c r="I98" s="196"/>
      <c r="J98" s="196"/>
      <c r="K98" s="196"/>
    </row>
    <row r="101" spans="4:11">
      <c r="D101" s="195" t="str">
        <f>general!AG103</f>
        <v>Haspelkette - rechts</v>
      </c>
      <c r="E101" s="196"/>
      <c r="F101" s="196"/>
      <c r="G101" s="196"/>
      <c r="H101" s="196"/>
      <c r="I101" s="196"/>
      <c r="J101" s="196"/>
      <c r="K101" s="196"/>
    </row>
    <row r="102" spans="4:11">
      <c r="D102" s="195"/>
      <c r="E102" s="196"/>
      <c r="F102" s="196"/>
      <c r="G102" s="196"/>
      <c r="H102" s="196"/>
      <c r="I102" s="196"/>
      <c r="J102" s="196"/>
      <c r="K102" s="196"/>
    </row>
    <row r="103" spans="4:11">
      <c r="D103" s="195"/>
      <c r="E103" s="196"/>
      <c r="F103" s="196"/>
      <c r="G103" s="196"/>
      <c r="H103" s="196"/>
      <c r="I103" s="196"/>
      <c r="J103" s="196"/>
      <c r="K103" s="196"/>
    </row>
    <row r="104" spans="4:11">
      <c r="D104" s="195"/>
      <c r="E104" s="196"/>
      <c r="F104" s="196"/>
      <c r="G104" s="196"/>
      <c r="H104" s="196"/>
      <c r="I104" s="196"/>
      <c r="J104" s="196"/>
      <c r="K104" s="196"/>
    </row>
    <row r="105" spans="4:11">
      <c r="D105" s="195"/>
      <c r="E105" s="196"/>
      <c r="F105" s="196"/>
      <c r="G105" s="196"/>
      <c r="H105" s="196"/>
      <c r="I105" s="196"/>
      <c r="J105" s="196"/>
      <c r="K105" s="196"/>
    </row>
    <row r="106" spans="4:11">
      <c r="D106" s="195"/>
      <c r="E106" s="196"/>
      <c r="F106" s="196"/>
      <c r="G106" s="196"/>
      <c r="H106" s="196"/>
      <c r="I106" s="196"/>
      <c r="J106" s="196"/>
      <c r="K106" s="196"/>
    </row>
    <row r="107" spans="4:11">
      <c r="D107" s="195"/>
      <c r="E107" s="196"/>
      <c r="F107" s="196"/>
      <c r="G107" s="196"/>
      <c r="H107" s="196"/>
      <c r="I107" s="196"/>
      <c r="J107" s="196"/>
      <c r="K107" s="196"/>
    </row>
    <row r="108" spans="4:11">
      <c r="D108" s="195"/>
      <c r="E108" s="196"/>
      <c r="F108" s="196"/>
      <c r="G108" s="196"/>
      <c r="H108" s="196"/>
      <c r="I108" s="196"/>
      <c r="J108" s="196"/>
      <c r="K108" s="196"/>
    </row>
    <row r="109" spans="4:11">
      <c r="D109" s="195"/>
      <c r="E109" s="196"/>
      <c r="F109" s="196"/>
      <c r="G109" s="196"/>
      <c r="H109" s="196"/>
      <c r="I109" s="196"/>
      <c r="J109" s="196"/>
      <c r="K109" s="196"/>
    </row>
    <row r="110" spans="4:11">
      <c r="D110" s="195"/>
      <c r="E110" s="196"/>
      <c r="F110" s="196"/>
      <c r="G110" s="196"/>
      <c r="H110" s="196"/>
      <c r="I110" s="196"/>
      <c r="J110" s="196"/>
      <c r="K110" s="196"/>
    </row>
    <row r="111" spans="4:11">
      <c r="D111" s="195"/>
      <c r="E111" s="196"/>
      <c r="F111" s="196"/>
      <c r="G111" s="196"/>
      <c r="H111" s="196"/>
      <c r="I111" s="196"/>
      <c r="J111" s="196"/>
      <c r="K111" s="196"/>
    </row>
    <row r="112" spans="4:11">
      <c r="D112" s="195"/>
      <c r="E112" s="196"/>
      <c r="F112" s="196"/>
      <c r="G112" s="196"/>
      <c r="H112" s="196"/>
      <c r="I112" s="196"/>
      <c r="J112" s="196"/>
      <c r="K112" s="196"/>
    </row>
    <row r="113" spans="4:11">
      <c r="D113" s="195"/>
      <c r="E113" s="196"/>
      <c r="F113" s="196"/>
      <c r="G113" s="196"/>
      <c r="H113" s="196"/>
      <c r="I113" s="196"/>
      <c r="J113" s="196"/>
      <c r="K113" s="196"/>
    </row>
    <row r="114" spans="4:11">
      <c r="D114" s="195"/>
      <c r="E114" s="196"/>
      <c r="F114" s="196"/>
      <c r="G114" s="196"/>
      <c r="H114" s="196"/>
      <c r="I114" s="196"/>
      <c r="J114" s="196"/>
      <c r="K114" s="196"/>
    </row>
    <row r="115" spans="4:11">
      <c r="D115" s="195"/>
      <c r="E115" s="196"/>
      <c r="F115" s="196"/>
      <c r="G115" s="196"/>
      <c r="H115" s="196"/>
      <c r="I115" s="196"/>
      <c r="J115" s="196"/>
      <c r="K115" s="196"/>
    </row>
    <row r="116" spans="4:11">
      <c r="D116" s="195"/>
      <c r="E116" s="196"/>
      <c r="F116" s="196"/>
      <c r="G116" s="196"/>
      <c r="H116" s="196"/>
      <c r="I116" s="196"/>
      <c r="J116" s="196"/>
      <c r="K116" s="196"/>
    </row>
    <row r="117" spans="4:11">
      <c r="D117" s="195"/>
      <c r="E117" s="196"/>
      <c r="F117" s="196"/>
      <c r="G117" s="196"/>
      <c r="H117" s="196"/>
      <c r="I117" s="196"/>
      <c r="J117" s="196"/>
      <c r="K117" s="196"/>
    </row>
    <row r="118" spans="4:11">
      <c r="D118" s="195"/>
      <c r="E118" s="196"/>
      <c r="F118" s="196"/>
      <c r="G118" s="196"/>
      <c r="H118" s="196"/>
      <c r="I118" s="196"/>
      <c r="J118" s="196"/>
      <c r="K118" s="196"/>
    </row>
    <row r="119" spans="4:11">
      <c r="D119" s="195"/>
      <c r="E119" s="196"/>
      <c r="F119" s="196"/>
      <c r="G119" s="196"/>
      <c r="H119" s="196"/>
      <c r="I119" s="196"/>
      <c r="J119" s="196"/>
      <c r="K119" s="196"/>
    </row>
    <row r="120" spans="4:11">
      <c r="D120" s="195"/>
      <c r="E120" s="196"/>
      <c r="F120" s="196"/>
      <c r="G120" s="196"/>
      <c r="H120" s="196"/>
      <c r="I120" s="196"/>
      <c r="J120" s="196"/>
      <c r="K120" s="196"/>
    </row>
    <row r="121" spans="4:11">
      <c r="D121" s="195"/>
      <c r="E121" s="196"/>
      <c r="F121" s="196"/>
      <c r="G121" s="196"/>
      <c r="H121" s="196"/>
      <c r="I121" s="196"/>
      <c r="J121" s="196"/>
      <c r="K121" s="196"/>
    </row>
    <row r="122" spans="4:11">
      <c r="D122" s="195"/>
      <c r="E122" s="196"/>
      <c r="F122" s="196"/>
      <c r="G122" s="196"/>
      <c r="H122" s="196"/>
      <c r="I122" s="196"/>
      <c r="J122" s="196"/>
      <c r="K122" s="196"/>
    </row>
    <row r="123" spans="4:11">
      <c r="D123" s="195"/>
      <c r="E123" s="196"/>
      <c r="F123" s="196"/>
      <c r="G123" s="196"/>
      <c r="H123" s="196"/>
      <c r="I123" s="196"/>
      <c r="J123" s="196"/>
      <c r="K123" s="196"/>
    </row>
    <row r="124" spans="4:11">
      <c r="D124" s="195"/>
      <c r="E124" s="196"/>
      <c r="F124" s="196"/>
      <c r="G124" s="196"/>
      <c r="H124" s="196"/>
      <c r="I124" s="196"/>
      <c r="J124" s="196"/>
      <c r="K124" s="196"/>
    </row>
    <row r="125" spans="4:11">
      <c r="D125" s="195"/>
      <c r="E125" s="196"/>
      <c r="F125" s="196"/>
      <c r="G125" s="196"/>
      <c r="H125" s="196"/>
      <c r="I125" s="196"/>
      <c r="J125" s="196"/>
      <c r="K125" s="196"/>
    </row>
    <row r="128" spans="4:11">
      <c r="D128" s="195" t="str">
        <f>general!AG100</f>
        <v>hand</v>
      </c>
      <c r="E128" s="196"/>
      <c r="F128" s="196"/>
      <c r="G128" s="196"/>
      <c r="H128" s="196"/>
      <c r="I128" s="196"/>
      <c r="J128" s="196"/>
      <c r="K128" s="196"/>
    </row>
    <row r="129" spans="4:11">
      <c r="D129" s="195"/>
      <c r="E129" s="196"/>
      <c r="F129" s="196"/>
      <c r="G129" s="196"/>
      <c r="H129" s="196"/>
      <c r="I129" s="196"/>
      <c r="J129" s="196"/>
      <c r="K129" s="196"/>
    </row>
    <row r="130" spans="4:11">
      <c r="D130" s="195"/>
      <c r="E130" s="196"/>
      <c r="F130" s="196"/>
      <c r="G130" s="196"/>
      <c r="H130" s="196"/>
      <c r="I130" s="196"/>
      <c r="J130" s="196"/>
      <c r="K130" s="196"/>
    </row>
    <row r="131" spans="4:11">
      <c r="D131" s="195"/>
      <c r="E131" s="196"/>
      <c r="F131" s="196"/>
      <c r="G131" s="196"/>
      <c r="H131" s="196"/>
      <c r="I131" s="196"/>
      <c r="J131" s="196"/>
      <c r="K131" s="196"/>
    </row>
    <row r="132" spans="4:11">
      <c r="D132" s="195"/>
      <c r="E132" s="196"/>
      <c r="F132" s="196"/>
      <c r="G132" s="196"/>
      <c r="H132" s="196"/>
      <c r="I132" s="196"/>
      <c r="J132" s="196"/>
      <c r="K132" s="196"/>
    </row>
    <row r="133" spans="4:11">
      <c r="D133" s="195"/>
      <c r="E133" s="196"/>
      <c r="F133" s="196"/>
      <c r="G133" s="196"/>
      <c r="H133" s="196"/>
      <c r="I133" s="196"/>
      <c r="J133" s="196"/>
      <c r="K133" s="196"/>
    </row>
    <row r="134" spans="4:11">
      <c r="D134" s="195"/>
      <c r="E134" s="196"/>
      <c r="F134" s="196"/>
      <c r="G134" s="196"/>
      <c r="H134" s="196"/>
      <c r="I134" s="196"/>
      <c r="J134" s="196"/>
      <c r="K134" s="196"/>
    </row>
    <row r="135" spans="4:11">
      <c r="D135" s="195"/>
      <c r="E135" s="196"/>
      <c r="F135" s="196"/>
      <c r="G135" s="196"/>
      <c r="H135" s="196"/>
      <c r="I135" s="196"/>
      <c r="J135" s="196"/>
      <c r="K135" s="196"/>
    </row>
    <row r="136" spans="4:11">
      <c r="D136" s="195"/>
      <c r="E136" s="196"/>
      <c r="F136" s="196"/>
      <c r="G136" s="196"/>
      <c r="H136" s="196"/>
      <c r="I136" s="196"/>
      <c r="J136" s="196"/>
      <c r="K136" s="196"/>
    </row>
    <row r="137" spans="4:11">
      <c r="D137" s="195"/>
      <c r="E137" s="196"/>
      <c r="F137" s="196"/>
      <c r="G137" s="196"/>
      <c r="H137" s="196"/>
      <c r="I137" s="196"/>
      <c r="J137" s="196"/>
      <c r="K137" s="196"/>
    </row>
    <row r="138" spans="4:11">
      <c r="D138" s="195"/>
      <c r="E138" s="196"/>
      <c r="F138" s="196"/>
      <c r="G138" s="196"/>
      <c r="H138" s="196"/>
      <c r="I138" s="196"/>
      <c r="J138" s="196"/>
      <c r="K138" s="196"/>
    </row>
    <row r="139" spans="4:11">
      <c r="D139" s="195"/>
      <c r="E139" s="196"/>
      <c r="F139" s="196"/>
      <c r="G139" s="196"/>
      <c r="H139" s="196"/>
      <c r="I139" s="196"/>
      <c r="J139" s="196"/>
      <c r="K139" s="196"/>
    </row>
    <row r="140" spans="4:11">
      <c r="D140" s="195"/>
      <c r="E140" s="196"/>
      <c r="F140" s="196"/>
      <c r="G140" s="196"/>
      <c r="H140" s="196"/>
      <c r="I140" s="196"/>
      <c r="J140" s="196"/>
      <c r="K140" s="196"/>
    </row>
    <row r="141" spans="4:11">
      <c r="D141" s="195"/>
      <c r="E141" s="196"/>
      <c r="F141" s="196"/>
      <c r="G141" s="196"/>
      <c r="H141" s="196"/>
      <c r="I141" s="196"/>
      <c r="J141" s="196"/>
      <c r="K141" s="196"/>
    </row>
    <row r="142" spans="4:11">
      <c r="D142" s="195"/>
      <c r="E142" s="196"/>
      <c r="F142" s="196"/>
      <c r="G142" s="196"/>
      <c r="H142" s="196"/>
      <c r="I142" s="196"/>
      <c r="J142" s="196"/>
      <c r="K142" s="196"/>
    </row>
    <row r="143" spans="4:11">
      <c r="D143" s="195"/>
      <c r="E143" s="196"/>
      <c r="F143" s="196"/>
      <c r="G143" s="196"/>
      <c r="H143" s="196"/>
      <c r="I143" s="196"/>
      <c r="J143" s="196"/>
      <c r="K143" s="196"/>
    </row>
    <row r="144" spans="4:11">
      <c r="D144" s="195"/>
      <c r="E144" s="196"/>
      <c r="F144" s="196"/>
      <c r="G144" s="196"/>
      <c r="H144" s="196"/>
      <c r="I144" s="196"/>
      <c r="J144" s="196"/>
      <c r="K144" s="196"/>
    </row>
    <row r="145" spans="4:11">
      <c r="D145" s="195"/>
      <c r="E145" s="196"/>
      <c r="F145" s="196"/>
      <c r="G145" s="196"/>
      <c r="H145" s="196"/>
      <c r="I145" s="196"/>
      <c r="J145" s="196"/>
      <c r="K145" s="196"/>
    </row>
    <row r="146" spans="4:11">
      <c r="D146" s="195"/>
      <c r="E146" s="196"/>
      <c r="F146" s="196"/>
      <c r="G146" s="196"/>
      <c r="H146" s="196"/>
      <c r="I146" s="196"/>
      <c r="J146" s="196"/>
      <c r="K146" s="196"/>
    </row>
    <row r="147" spans="4:11">
      <c r="D147" s="195"/>
      <c r="E147" s="196"/>
      <c r="F147" s="196"/>
      <c r="G147" s="196"/>
      <c r="H147" s="196"/>
      <c r="I147" s="196"/>
      <c r="J147" s="196"/>
      <c r="K147" s="196"/>
    </row>
    <row r="148" spans="4:11">
      <c r="D148" s="195"/>
      <c r="E148" s="196"/>
      <c r="F148" s="196"/>
      <c r="G148" s="196"/>
      <c r="H148" s="196"/>
      <c r="I148" s="196"/>
      <c r="J148" s="196"/>
      <c r="K148" s="196"/>
    </row>
    <row r="149" spans="4:11">
      <c r="D149" s="195"/>
      <c r="E149" s="196"/>
      <c r="F149" s="196"/>
      <c r="G149" s="196"/>
      <c r="H149" s="196"/>
      <c r="I149" s="196"/>
      <c r="J149" s="196"/>
      <c r="K149" s="196"/>
    </row>
    <row r="150" spans="4:11">
      <c r="D150" s="195"/>
      <c r="E150" s="196"/>
      <c r="F150" s="196"/>
      <c r="G150" s="196"/>
      <c r="H150" s="196"/>
      <c r="I150" s="196"/>
      <c r="J150" s="196"/>
      <c r="K150" s="196"/>
    </row>
    <row r="151" spans="4:11">
      <c r="D151" s="195"/>
      <c r="E151" s="196"/>
      <c r="F151" s="196"/>
      <c r="G151" s="196"/>
      <c r="H151" s="196"/>
      <c r="I151" s="196"/>
      <c r="J151" s="196"/>
      <c r="K151" s="196"/>
    </row>
    <row r="152" spans="4:11">
      <c r="D152" s="195"/>
      <c r="E152" s="196"/>
      <c r="F152" s="196"/>
      <c r="G152" s="196"/>
      <c r="H152" s="196"/>
      <c r="I152" s="196"/>
      <c r="J152" s="196"/>
      <c r="K152" s="196"/>
    </row>
  </sheetData>
  <mergeCells count="11">
    <mergeCell ref="D101:D125"/>
    <mergeCell ref="E101:K125"/>
    <mergeCell ref="D128:D152"/>
    <mergeCell ref="E128:K152"/>
    <mergeCell ref="Y6:AE8"/>
    <mergeCell ref="D20:D44"/>
    <mergeCell ref="E20:K44"/>
    <mergeCell ref="D47:D71"/>
    <mergeCell ref="E47:K71"/>
    <mergeCell ref="D74:D98"/>
    <mergeCell ref="E74:K98"/>
  </mergeCells>
  <dataValidations count="1">
    <dataValidation type="list" allowBlank="1" showInputMessage="1" showErrorMessage="1" sqref="N16:U18" xr:uid="{0DE88E5E-985E-45B2-B68A-0B6FBCF58578}">
      <formula1>$Z$8:$Z$9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general</vt:lpstr>
      <vt:lpstr>SW-R</vt:lpstr>
      <vt:lpstr>SW-L</vt:lpstr>
      <vt:lpstr>Manually_operated</vt:lpstr>
      <vt:lpstr>Obrázky</vt:lpstr>
      <vt:lpstr>general!Druckbereich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Krause</dc:creator>
  <cp:lastModifiedBy>Tatjana Krause</cp:lastModifiedBy>
  <dcterms:created xsi:type="dcterms:W3CDTF">2023-11-14T12:26:36Z</dcterms:created>
  <dcterms:modified xsi:type="dcterms:W3CDTF">2024-07-10T07:28:42Z</dcterms:modified>
</cp:coreProperties>
</file>