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oorsystems-my.sharepoint.com/personal/t_krause_door-systems_de/Documents/Marketing2/Dokumentation/12_Montageanleitungen/TOORS/original/Garagentore/Einbauzeichnungen/"/>
    </mc:Choice>
  </mc:AlternateContent>
  <xr:revisionPtr revIDLastSave="0" documentId="8_{A7D78672-DC59-446F-87BC-D0A945C5B376}" xr6:coauthVersionLast="47" xr6:coauthVersionMax="47" xr10:uidLastSave="{00000000-0000-0000-0000-000000000000}"/>
  <bookViews>
    <workbookView xWindow="28680" yWindow="-120" windowWidth="29040" windowHeight="15840" xr2:uid="{27749C91-0051-4D10-B5A9-23335A9F861A}"/>
  </bookViews>
  <sheets>
    <sheet name="LHF-C" sheetId="1" r:id="rId1"/>
    <sheet name="Translation" sheetId="2" state="hidden" r:id="rId2"/>
    <sheet name="Selections" sheetId="3" state="hidden" r:id="rId3"/>
  </sheets>
  <definedNames>
    <definedName name="_xlnm.Print_Area" localSheetId="0">'LHF-C'!$A$1:$AC$68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98" i="3" l="1"/>
  <c r="L98" i="3"/>
  <c r="K98" i="3"/>
  <c r="N97" i="3"/>
  <c r="K97" i="3" s="1"/>
  <c r="L97" i="3"/>
  <c r="N96" i="3"/>
  <c r="K96" i="3" s="1"/>
  <c r="L96" i="3"/>
  <c r="N95" i="3"/>
  <c r="L95" i="3"/>
  <c r="K95" i="3"/>
  <c r="N94" i="3"/>
  <c r="K94" i="3"/>
  <c r="I94" i="3"/>
  <c r="N92" i="3"/>
  <c r="K92" i="3" s="1"/>
  <c r="L92" i="3"/>
  <c r="N91" i="3"/>
  <c r="K91" i="3" s="1"/>
  <c r="L91" i="3"/>
  <c r="N90" i="3"/>
  <c r="L90" i="3"/>
  <c r="K90" i="3"/>
  <c r="N89" i="3"/>
  <c r="L89" i="3"/>
  <c r="K89" i="3"/>
  <c r="C89" i="3"/>
  <c r="N88" i="3"/>
  <c r="K88" i="3"/>
  <c r="C88" i="3"/>
  <c r="Q86" i="3"/>
  <c r="I86" i="3"/>
  <c r="C86" i="3"/>
  <c r="Q80" i="3"/>
  <c r="N80" i="3"/>
  <c r="K80" i="3"/>
  <c r="Q76" i="3"/>
  <c r="N76" i="3"/>
  <c r="K76" i="3"/>
  <c r="C73" i="3"/>
  <c r="Q72" i="3"/>
  <c r="N72" i="3"/>
  <c r="K72" i="3"/>
  <c r="C72" i="3"/>
  <c r="T70" i="3"/>
  <c r="I70" i="3"/>
  <c r="C70" i="3"/>
  <c r="N64" i="3"/>
  <c r="L64" i="3"/>
  <c r="K64" i="3"/>
  <c r="N63" i="3"/>
  <c r="L63" i="3"/>
  <c r="K63" i="3"/>
  <c r="N62" i="3"/>
  <c r="K62" i="3" s="1"/>
  <c r="L62" i="3"/>
  <c r="N61" i="3"/>
  <c r="L61" i="3"/>
  <c r="K61" i="3"/>
  <c r="I61" i="3"/>
  <c r="N60" i="3"/>
  <c r="K60" i="3"/>
  <c r="F60" i="3"/>
  <c r="C60" i="3"/>
  <c r="F59" i="3"/>
  <c r="C59" i="3"/>
  <c r="I59" i="3" s="1"/>
  <c r="N58" i="3"/>
  <c r="L58" i="3"/>
  <c r="K58" i="3"/>
  <c r="F58" i="3"/>
  <c r="N57" i="3"/>
  <c r="L57" i="3"/>
  <c r="K57" i="3"/>
  <c r="I57" i="3"/>
  <c r="F57" i="3"/>
  <c r="N56" i="3"/>
  <c r="L56" i="3"/>
  <c r="K56" i="3"/>
  <c r="F56" i="3"/>
  <c r="N55" i="3"/>
  <c r="L55" i="3"/>
  <c r="K55" i="3"/>
  <c r="F55" i="3"/>
  <c r="C55" i="3"/>
  <c r="N54" i="3"/>
  <c r="K54" i="3"/>
  <c r="F54" i="3"/>
  <c r="C54" i="3"/>
  <c r="I58" i="3" s="1"/>
  <c r="I52" i="3"/>
  <c r="C52" i="3"/>
  <c r="Q46" i="3"/>
  <c r="N46" i="3"/>
  <c r="K46" i="3"/>
  <c r="F44" i="3"/>
  <c r="C44" i="3"/>
  <c r="F43" i="3"/>
  <c r="C43" i="3"/>
  <c r="I43" i="3" s="1"/>
  <c r="Q42" i="3"/>
  <c r="N42" i="3"/>
  <c r="K42" i="3"/>
  <c r="F42" i="3"/>
  <c r="I41" i="3"/>
  <c r="F41" i="3"/>
  <c r="F40" i="3"/>
  <c r="F39" i="3"/>
  <c r="C39" i="3"/>
  <c r="Q38" i="3"/>
  <c r="N38" i="3"/>
  <c r="K38" i="3"/>
  <c r="F38" i="3"/>
  <c r="C38" i="3"/>
  <c r="I42" i="3" s="1"/>
  <c r="I36" i="3"/>
  <c r="C36" i="3"/>
  <c r="N32" i="3"/>
  <c r="K32" i="3" s="1"/>
  <c r="L32" i="3"/>
  <c r="N31" i="3"/>
  <c r="L31" i="3"/>
  <c r="K31" i="3"/>
  <c r="N30" i="3"/>
  <c r="L30" i="3"/>
  <c r="K30" i="3"/>
  <c r="N29" i="3"/>
  <c r="L29" i="3"/>
  <c r="K29" i="3"/>
  <c r="N28" i="3"/>
  <c r="K28" i="3"/>
  <c r="N26" i="3"/>
  <c r="L26" i="3"/>
  <c r="K26" i="3"/>
  <c r="N25" i="3"/>
  <c r="L25" i="3"/>
  <c r="K25" i="3"/>
  <c r="I25" i="3"/>
  <c r="N24" i="3"/>
  <c r="K24" i="3" s="1"/>
  <c r="L24" i="3"/>
  <c r="N23" i="3"/>
  <c r="K23" i="3" s="1"/>
  <c r="L23" i="3"/>
  <c r="C23" i="3"/>
  <c r="N22" i="3"/>
  <c r="K22" i="3"/>
  <c r="F22" i="3"/>
  <c r="C22" i="3"/>
  <c r="I20" i="3"/>
  <c r="C20" i="3"/>
  <c r="Q13" i="3"/>
  <c r="N13" i="3"/>
  <c r="K13" i="3"/>
  <c r="Q9" i="3"/>
  <c r="N9" i="3"/>
  <c r="K9" i="3"/>
  <c r="Q5" i="3"/>
  <c r="N5" i="3"/>
  <c r="K5" i="3"/>
  <c r="F5" i="3"/>
  <c r="C2" i="2"/>
  <c r="C41" i="2" s="1"/>
  <c r="U23" i="1" s="1"/>
  <c r="S58" i="1"/>
  <c r="AC57" i="1"/>
  <c r="Z57" i="1"/>
  <c r="W57" i="1"/>
  <c r="S57" i="1"/>
  <c r="S56" i="1"/>
  <c r="S55" i="1"/>
  <c r="V54" i="1"/>
  <c r="S54" i="1"/>
  <c r="S53" i="1"/>
  <c r="AC52" i="1"/>
  <c r="Z52" i="1"/>
  <c r="W52" i="1"/>
  <c r="AB51" i="1"/>
  <c r="Y51" i="1"/>
  <c r="X51" i="1"/>
  <c r="AA51" i="1" s="1"/>
  <c r="U45" i="1"/>
  <c r="S45" i="1"/>
  <c r="U44" i="1"/>
  <c r="S44" i="1"/>
  <c r="U43" i="1"/>
  <c r="S43" i="1"/>
  <c r="U42" i="1"/>
  <c r="S42" i="1"/>
  <c r="U41" i="1"/>
  <c r="S41" i="1"/>
  <c r="U40" i="1"/>
  <c r="S40" i="1"/>
  <c r="U39" i="1"/>
  <c r="Z38" i="1"/>
  <c r="M34" i="1"/>
  <c r="K34" i="1"/>
  <c r="G34" i="1"/>
  <c r="P33" i="1"/>
  <c r="Q31" i="1"/>
  <c r="N15" i="1"/>
  <c r="M14" i="1"/>
  <c r="I13" i="1"/>
  <c r="G12" i="1"/>
  <c r="F11" i="1"/>
  <c r="Z8" i="1"/>
  <c r="Z6" i="1"/>
  <c r="S6" i="1"/>
  <c r="Z4" i="1"/>
  <c r="S4" i="1"/>
  <c r="K3" i="1"/>
  <c r="S2" i="1"/>
  <c r="C9" i="2" l="1"/>
  <c r="C16" i="2"/>
  <c r="U22" i="1" s="1"/>
  <c r="C21" i="2"/>
  <c r="Y8" i="1" s="1"/>
  <c r="C28" i="2"/>
  <c r="C33" i="2"/>
  <c r="U31" i="1" s="1"/>
  <c r="C38" i="2"/>
  <c r="C42" i="2"/>
  <c r="R8" i="1" s="1"/>
  <c r="C45" i="2"/>
  <c r="C50" i="2"/>
  <c r="U32" i="1" s="1"/>
  <c r="C54" i="2"/>
  <c r="C3" i="2"/>
  <c r="C7" i="2"/>
  <c r="Z37" i="1" s="1"/>
  <c r="C14" i="2"/>
  <c r="U28" i="1" s="1"/>
  <c r="C19" i="2"/>
  <c r="Y6" i="1" s="1"/>
  <c r="C23" i="2"/>
  <c r="U27" i="1" s="1"/>
  <c r="C27" i="2"/>
  <c r="I4" i="1" s="1"/>
  <c r="C30" i="2"/>
  <c r="C39" i="2"/>
  <c r="C5" i="3" s="1"/>
  <c r="C44" i="2"/>
  <c r="S49" i="1" s="1"/>
  <c r="C48" i="2"/>
  <c r="C51" i="2"/>
  <c r="U35" i="1" s="1"/>
  <c r="C53" i="2"/>
  <c r="C4" i="2"/>
  <c r="C8" i="2"/>
  <c r="U24" i="1" s="1"/>
  <c r="C13" i="2"/>
  <c r="R2" i="1" s="1"/>
  <c r="C18" i="2"/>
  <c r="U29" i="1" s="1"/>
  <c r="C24" i="2"/>
  <c r="C31" i="2"/>
  <c r="AB66" i="1" s="1"/>
  <c r="C36" i="2"/>
  <c r="U19" i="1" s="1"/>
  <c r="C40" i="2"/>
  <c r="C6" i="3" s="1"/>
  <c r="C46" i="2"/>
  <c r="C49" i="2"/>
  <c r="C6" i="2"/>
  <c r="W37" i="1" s="1"/>
  <c r="C10" i="2"/>
  <c r="U25" i="1" s="1"/>
  <c r="C17" i="2"/>
  <c r="R4" i="1" s="1"/>
  <c r="C20" i="2"/>
  <c r="U30" i="1" s="1"/>
  <c r="C25" i="2"/>
  <c r="C29" i="2"/>
  <c r="C34" i="2"/>
  <c r="C24" i="1" s="1"/>
  <c r="C37" i="2"/>
  <c r="I2" i="1" s="1"/>
  <c r="C43" i="2"/>
  <c r="C47" i="2"/>
  <c r="C52" i="2"/>
  <c r="B53" i="1" s="1"/>
  <c r="C12" i="2"/>
  <c r="U21" i="1" s="1"/>
  <c r="C5" i="2"/>
  <c r="C11" i="2"/>
  <c r="R6" i="1" s="1"/>
  <c r="C15" i="2"/>
  <c r="Y4" i="1" s="1"/>
  <c r="C22" i="2"/>
  <c r="U26" i="1" s="1"/>
  <c r="C26" i="2"/>
  <c r="U20" i="1" s="1"/>
  <c r="C32" i="2"/>
  <c r="AC66" i="1" s="1"/>
  <c r="C35" i="2"/>
  <c r="C25" i="1" s="1"/>
  <c r="C3" i="3" l="1"/>
  <c r="I6" i="1"/>
  <c r="I3" i="3"/>
  <c r="Y2" i="1"/>
</calcChain>
</file>

<file path=xl/sharedStrings.xml><?xml version="1.0" encoding="utf-8"?>
<sst xmlns="http://schemas.openxmlformats.org/spreadsheetml/2006/main" count="556" uniqueCount="477">
  <si>
    <t>Zvolte jazyk</t>
  </si>
  <si>
    <t>Select a language</t>
  </si>
  <si>
    <t>Wählen Sie eine Sprache:</t>
  </si>
  <si>
    <t>CZ</t>
  </si>
  <si>
    <t>Wybierz język:</t>
  </si>
  <si>
    <t>Sélectionner une langue:</t>
  </si>
  <si>
    <t>Kies een taal:</t>
  </si>
  <si>
    <t xml:space="preserve">  Z</t>
  </si>
  <si>
    <t xml:space="preserve">    Y1 = 400</t>
  </si>
  <si>
    <t>W</t>
  </si>
  <si>
    <t>H</t>
  </si>
  <si>
    <t>D</t>
  </si>
  <si>
    <t>K</t>
  </si>
  <si>
    <t>F</t>
  </si>
  <si>
    <t>CEL</t>
  </si>
  <si>
    <t>CPH*</t>
  </si>
  <si>
    <t>Y1</t>
  </si>
  <si>
    <t>Y2</t>
  </si>
  <si>
    <t>X</t>
  </si>
  <si>
    <t>E1</t>
  </si>
  <si>
    <t>E2</t>
  </si>
  <si>
    <t>Z</t>
  </si>
  <si>
    <r>
      <t>*</t>
    </r>
    <r>
      <rPr>
        <vertAlign val="superscript"/>
        <sz val="11"/>
        <color theme="1"/>
        <rFont val="Calibri"/>
        <family val="2"/>
        <charset val="238"/>
        <scheme val="minor"/>
      </rPr>
      <t>1</t>
    </r>
  </si>
  <si>
    <r>
      <t>*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</si>
  <si>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&gt;</t>
  </si>
  <si>
    <t>&lt;=</t>
  </si>
  <si>
    <t>min. CEL</t>
  </si>
  <si>
    <r>
      <t>CPH*</t>
    </r>
    <r>
      <rPr>
        <vertAlign val="superscript"/>
        <sz val="11"/>
        <color theme="1"/>
        <rFont val="Calibri"/>
        <family val="2"/>
        <charset val="238"/>
        <scheme val="minor"/>
      </rPr>
      <t>1</t>
    </r>
  </si>
  <si>
    <r>
      <t>CPH*</t>
    </r>
    <r>
      <rPr>
        <vertAlign val="super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 xml:space="preserve"> *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</si>
  <si>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H - 47</t>
  </si>
  <si>
    <t>H + 200</t>
  </si>
  <si>
    <t>H - 175</t>
  </si>
  <si>
    <t>Black</t>
  </si>
  <si>
    <t>RUN 600</t>
  </si>
  <si>
    <t>Cube</t>
  </si>
  <si>
    <t>&gt;=90</t>
  </si>
  <si>
    <t xml:space="preserve">  &gt;=90</t>
  </si>
  <si>
    <t>https://www.door-documents.com/en/installation-drawing-lhf-c</t>
  </si>
  <si>
    <t>Guardy LHF-C</t>
  </si>
  <si>
    <t>A4</t>
  </si>
  <si>
    <t>LHF-C</t>
  </si>
  <si>
    <t>LHF-C-Ki</t>
  </si>
  <si>
    <t>LHR-C</t>
  </si>
  <si>
    <t>LHR-C-Ki</t>
  </si>
  <si>
    <t>EN</t>
  </si>
  <si>
    <t>DE</t>
  </si>
  <si>
    <t>PL</t>
  </si>
  <si>
    <t>FR</t>
  </si>
  <si>
    <t>NL</t>
  </si>
  <si>
    <t>ET</t>
  </si>
  <si>
    <t>FI</t>
  </si>
  <si>
    <t>Obecná</t>
  </si>
  <si>
    <t>General</t>
  </si>
  <si>
    <t>Allgemeine</t>
  </si>
  <si>
    <t xml:space="preserve">Ogólna </t>
  </si>
  <si>
    <t>Hauteur</t>
  </si>
  <si>
    <t>Algemene</t>
  </si>
  <si>
    <t>Üldine</t>
  </si>
  <si>
    <t>Yleinen</t>
  </si>
  <si>
    <t>výška [mm]</t>
  </si>
  <si>
    <t>height [mm]</t>
  </si>
  <si>
    <t>Höhe [mm]</t>
  </si>
  <si>
    <t>wysokość [mm]</t>
  </si>
  <si>
    <t>Générale [mm]</t>
  </si>
  <si>
    <t>hoogte [mm]</t>
  </si>
  <si>
    <t>kõrgus [mm]</t>
  </si>
  <si>
    <t>Korkeus [mm]</t>
  </si>
  <si>
    <t>Min. výška stropu [mm]</t>
  </si>
  <si>
    <t>Min. height of ceiling [mm]</t>
  </si>
  <si>
    <t>Min. Deckenhöhe [mm]</t>
  </si>
  <si>
    <t>Min wysokość stropu [mm]</t>
  </si>
  <si>
    <t>Hauteur minimale du plafond [mm]</t>
  </si>
  <si>
    <t>Min. plafondhoogte [mm]</t>
  </si>
  <si>
    <t>Min. lae kõrgus [mm]</t>
  </si>
  <si>
    <t>Min. katon korkeus [mm]</t>
  </si>
  <si>
    <t>Vrata bez motoru</t>
  </si>
  <si>
    <t>Manually operated</t>
  </si>
  <si>
    <t>Tor ohne Motor</t>
  </si>
  <si>
    <t>Brama bez napędu</t>
  </si>
  <si>
    <t>Porte sans moteur</t>
  </si>
  <si>
    <t>Deur zonder motor</t>
  </si>
  <si>
    <t>Käsitsi juhitav</t>
  </si>
  <si>
    <t>Käsikäyttöinen</t>
  </si>
  <si>
    <t>Vrata s motorem</t>
  </si>
  <si>
    <t>Electric. operated</t>
  </si>
  <si>
    <t>Tor mit Motor</t>
  </si>
  <si>
    <t>Brama z napędem</t>
  </si>
  <si>
    <t>Porte avec moteur</t>
  </si>
  <si>
    <t>Garaged. met motor</t>
  </si>
  <si>
    <t>Elektriliselt juhitav</t>
  </si>
  <si>
    <t>Sähkökäyttöinen</t>
  </si>
  <si>
    <t>Výška stropu [mm]</t>
  </si>
  <si>
    <t>Height of ceiling [mm]</t>
  </si>
  <si>
    <t>Deckenhöhe [mm]</t>
  </si>
  <si>
    <t>Wysokość stropu [mm]</t>
  </si>
  <si>
    <t>Hauteur du plafond [mm]</t>
  </si>
  <si>
    <t>Plafondhoogte [mm]</t>
  </si>
  <si>
    <t>Lae kõrgus [mm]</t>
  </si>
  <si>
    <t>Katon korkeus [mm]</t>
  </si>
  <si>
    <t>Výška ke spodní hraně překladového profilu [mm]</t>
  </si>
  <si>
    <t>Height to bottom edge of lintel profile [mm]</t>
  </si>
  <si>
    <t>Höhe zur unteren Kante des Sturzprofiles [mm]</t>
  </si>
  <si>
    <t>Wysokość do dolnej krawędzi profilu nadproża [mm]</t>
  </si>
  <si>
    <t>Hauteur jusqu'à l'arête inférieure du profilé de linteau [mm]</t>
  </si>
  <si>
    <t>Hoogte vanaf de onderrand van het dwarsbalkprofiel [mm]</t>
  </si>
  <si>
    <t>Kõrgus silluse profiili alumise servani [mm]</t>
  </si>
  <si>
    <t>Korkeus kamanaprofiilin alareunaan [mm]</t>
  </si>
  <si>
    <t>Spodní hrana plně otevřených vrat [mm]</t>
  </si>
  <si>
    <t>Bottom edge of fully open door [mm]</t>
  </si>
  <si>
    <t>Untere Kante des vollständig geöffneten Tors [mm]</t>
  </si>
  <si>
    <t>Dolna krawędź w pełni otwartej bramy [mm]</t>
  </si>
  <si>
    <t>Arête inférieure de la porte toute ouverte [mm]</t>
  </si>
  <si>
    <t>Onderste rand van een volledig geopende deur [mm]</t>
  </si>
  <si>
    <t>Täielikult avatud ukse alumine serv [mm]</t>
  </si>
  <si>
    <t>Täysin auki olevan oven alareunan korkeus [mm]</t>
  </si>
  <si>
    <t>Spodní hrana plně otevřených vrat (CPH) [mm]</t>
  </si>
  <si>
    <t>Bottom edge of fully open door (CPH) [mm]</t>
  </si>
  <si>
    <t>Untere Kante des vollständig geöffneten Tors (CPH) [mm]</t>
  </si>
  <si>
    <t>Dolna krawędź w pełni otwartej bramy (CPH) [mm]</t>
  </si>
  <si>
    <t>Arête inférieure de la porte toute ouverte (CPH) [mm]</t>
  </si>
  <si>
    <t>Onderste rand van een volledig geopende deur (CPH) [mm]</t>
  </si>
  <si>
    <t>Täielikult avatud ukse alumine serv (CPH) [mm]</t>
  </si>
  <si>
    <t>Täysin auki olevan oven alareunan korkeus (CPH) [mm]</t>
  </si>
  <si>
    <t>Hloubka vedení [mm]</t>
  </si>
  <si>
    <t>Back room [mm]</t>
  </si>
  <si>
    <t>Führungstiefe [mm]</t>
  </si>
  <si>
    <t>Głębokość prowadzenia [mm]</t>
  </si>
  <si>
    <t>Profondeur du guidage [mm]</t>
  </si>
  <si>
    <t>Inbouwdiepte van de rails [mm]</t>
  </si>
  <si>
    <t>Tagaruum [mm]</t>
  </si>
  <si>
    <t>Syvyystila [mm]</t>
  </si>
  <si>
    <t>Hloubka vedení (D) [mm]</t>
  </si>
  <si>
    <t>Back room (D) [mm]</t>
  </si>
  <si>
    <t>Führungstiefe (D) [mm]</t>
  </si>
  <si>
    <t>Głębokość prowadzenia (D) [mm]</t>
  </si>
  <si>
    <t>Profondeur du guidage (D) [mm]</t>
  </si>
  <si>
    <t>Diepte van de geleidingsrail (D) [mm]</t>
  </si>
  <si>
    <t>Tagaruum (D) [mm]</t>
  </si>
  <si>
    <t>Syvyystila (D) [mm]</t>
  </si>
  <si>
    <t>Délka pohonu [mm]</t>
  </si>
  <si>
    <t>Length of motor [mm]</t>
  </si>
  <si>
    <t>Antriebslänge [mm]</t>
  </si>
  <si>
    <t>Długość napędu [mm]</t>
  </si>
  <si>
    <t>Longueur de la propulsion [mm]</t>
  </si>
  <si>
    <t>Inbouwdiepte incl. de aandrijving [mm]</t>
  </si>
  <si>
    <t>Mootori pikkus [mm]</t>
  </si>
  <si>
    <t>Avaajan kokonaispituus [mm]</t>
  </si>
  <si>
    <t>Délka pohonu (X) [mm]</t>
  </si>
  <si>
    <t>Length of motor (X) [mm]</t>
  </si>
  <si>
    <t>Antriebslänge (X) [mm]</t>
  </si>
  <si>
    <t>Długość napędu (X) [mm]</t>
  </si>
  <si>
    <t>Longueur de la propulsion (X) [mm]</t>
  </si>
  <si>
    <t>Inbouwdiepte incl. de aandrijving (X) [mm]</t>
  </si>
  <si>
    <t>Mootori pikkus (X) [mm]</t>
  </si>
  <si>
    <t>Avaajan kokonaispituus (X) [mm]</t>
  </si>
  <si>
    <t>Spodní hrana horizontálního vedení [mm]</t>
  </si>
  <si>
    <t>Bottom edge of horizontal tracks [mm]</t>
  </si>
  <si>
    <r>
      <t>Untere Kante der H</t>
    </r>
    <r>
      <rPr>
        <sz val="11"/>
        <color theme="1"/>
        <rFont val="Calibri"/>
        <family val="2"/>
        <charset val="238"/>
        <scheme val="minor"/>
      </rPr>
      <t>orizontalführung [mm]</t>
    </r>
  </si>
  <si>
    <t>Dolna krawędź prowadzenia poziomego [mm]</t>
  </si>
  <si>
    <r>
      <t>Arête inférieure du guidage</t>
    </r>
    <r>
      <rPr>
        <sz val="11"/>
        <color theme="1"/>
        <rFont val="Calibri"/>
        <family val="2"/>
        <charset val="238"/>
        <scheme val="minor"/>
      </rPr>
      <t xml:space="preserve"> horizontale [mm]</t>
    </r>
  </si>
  <si>
    <t>Onderste rand van de horizontale rails [mm]</t>
  </si>
  <si>
    <t>Horisontaalsete siinide alumine serv [mm]</t>
  </si>
  <si>
    <t>Vaakajohteiden alareuna  [mm]</t>
  </si>
  <si>
    <t>Spodní hrana horizontálního vedení (K) [mm]</t>
  </si>
  <si>
    <t>Bottom edge of horizontal tracks (K) [mm]</t>
  </si>
  <si>
    <t>Untere Kante der Horizontalführung (K) [mm]</t>
  </si>
  <si>
    <t>Dolna krawędź prowadzenia poziomego (K) [mm]</t>
  </si>
  <si>
    <t>Arête inférieure du guidage horizontale (K) [mm]</t>
  </si>
  <si>
    <t>Onderste rand van de horizontale rails (K) [mm]</t>
  </si>
  <si>
    <t>Horisontaalsete siinde alumine serv (K) [mm]</t>
  </si>
  <si>
    <t>Vaakajohteiden alareuna (K) [mm]</t>
  </si>
  <si>
    <t>Kotvící bod lišty pohonu [mm]</t>
  </si>
  <si>
    <t>Hanging point for motor track [mm]</t>
  </si>
  <si>
    <t>Verankerungspunkt der Antriebsleiste [mm]</t>
  </si>
  <si>
    <t>Punkt uchwycenia szyny napędu [mm]</t>
  </si>
  <si>
    <t>Point d'ancrage de la glissière de propulsion [mm]</t>
  </si>
  <si>
    <t>Bevestigingspunt van de motorgeleidingsrail [mm]</t>
  </si>
  <si>
    <t>Mootorisiini riputuspunkt [mm]</t>
  </si>
  <si>
    <t>Avaajan kiskon ripustuspiste [mm]</t>
  </si>
  <si>
    <t>Kotvící bod lišty pohonu (E1) [mm]</t>
  </si>
  <si>
    <t>Hanging point for motor track (E1) [mm]</t>
  </si>
  <si>
    <t>Verankerungspunkt der Antriebsleiste (E1) [mm]</t>
  </si>
  <si>
    <t>Punkt uchwycenia szyny napędu (E1) [mm]</t>
  </si>
  <si>
    <t>Point d'ancrage de la glissière de propulsion (E1) [mm]</t>
  </si>
  <si>
    <t>Bevestigingspunt van de motorgeleidingsrail (E1) [mm]</t>
  </si>
  <si>
    <t>Mootorisiini riputuspunkt (E1) [mm]</t>
  </si>
  <si>
    <t>Avaajan kiskon ripustuspiste (E1) [mm]</t>
  </si>
  <si>
    <t>Kotvící bod pohonu [mm]</t>
  </si>
  <si>
    <t>Hanging point for motor [mm]</t>
  </si>
  <si>
    <t>Verankerungspunkt des Antriebes [mm]</t>
  </si>
  <si>
    <t>Punkt uchwycenia napędu [mm]</t>
  </si>
  <si>
    <t>Point d'ancrage de la propulsion [mm]</t>
  </si>
  <si>
    <t>Bevestigingspunt van de aandrijvingsgeleidingsbalk [mm]</t>
  </si>
  <si>
    <t>Mootori riputuspunkt [mm]</t>
  </si>
  <si>
    <t>Avaajan ripustuspiste [mm]</t>
  </si>
  <si>
    <t>Kotvící bod pohonu (E2) [mm]</t>
  </si>
  <si>
    <t>Hanging point for motor (E2) [mm]</t>
  </si>
  <si>
    <t>Verankerungspunkt des Antriebes (E2) [mm]</t>
  </si>
  <si>
    <t>Punkt uchwycenia napędu (E2) [mm]</t>
  </si>
  <si>
    <t>Point d'ancrage de la propulsion (E2) [mm]</t>
  </si>
  <si>
    <t>Bevestigingsp. van de aandrijvingsgeleidingsbalk (E2) [mm]</t>
  </si>
  <si>
    <t>Mootori riputuspunkt (E2) [mm]</t>
  </si>
  <si>
    <t>Avaajan ripustuspiste (E2) [mm]</t>
  </si>
  <si>
    <t>Kotvící bod</t>
  </si>
  <si>
    <t>Hanging point</t>
  </si>
  <si>
    <t>Verankerungspunkt</t>
  </si>
  <si>
    <t>Punkt uchwycenia</t>
  </si>
  <si>
    <t>Point d'ancrage</t>
  </si>
  <si>
    <t>Bevestigingspunt</t>
  </si>
  <si>
    <t>Riputuspunkt</t>
  </si>
  <si>
    <t>Ripustuspiste</t>
  </si>
  <si>
    <t>Kotvící bod (W&gt;3000 nebo H&gt;2500)</t>
  </si>
  <si>
    <t>Hanging point (W&gt;3000 or H&gt;2500)</t>
  </si>
  <si>
    <t>Verankerungspunkt (W&gt;3000 oder H&gt;2500)</t>
  </si>
  <si>
    <t>Punkt uchwycenia (W&gt;3000 lub H&gt;2500)</t>
  </si>
  <si>
    <t>Point d'ancrage (W&gt;3000 ou H&gt;2500)</t>
  </si>
  <si>
    <t>Bevestigingspunt (W&gt;3000 of H&gt;2500)</t>
  </si>
  <si>
    <t>Riputuspunkt (W&gt;3000 või H&gt;2500)</t>
  </si>
  <si>
    <t>Ripustuspiste (W&gt;3000 või H&gt;2500)</t>
  </si>
  <si>
    <t>Standardní montáž</t>
  </si>
  <si>
    <t>Standard installation</t>
  </si>
  <si>
    <t>Standardmontage</t>
  </si>
  <si>
    <t>Instalacja standardowa</t>
  </si>
  <si>
    <t>Assemblage standard</t>
  </si>
  <si>
    <t>Standaardmontage</t>
  </si>
  <si>
    <t>Standard paigaldus</t>
  </si>
  <si>
    <t>Tavallinen asennusmenetelmä</t>
  </si>
  <si>
    <t>Alternativní montáž</t>
  </si>
  <si>
    <t>Alternative installation</t>
  </si>
  <si>
    <t>Alternative Montage</t>
  </si>
  <si>
    <t>Instalacja alternatywna</t>
  </si>
  <si>
    <t xml:space="preserve">Assemblage alternatif </t>
  </si>
  <si>
    <t>Alternatieve montage</t>
  </si>
  <si>
    <t>Alternatiivne paigaldus</t>
  </si>
  <si>
    <t>Vaihtoehtoinen asennusmenetelmä</t>
  </si>
  <si>
    <t>Výška stavebního otvoru [mm]</t>
  </si>
  <si>
    <t>Clear opening height [mm]</t>
  </si>
  <si>
    <t>Höhe der Bauöffnung [mm]</t>
  </si>
  <si>
    <t>Wysokość otworu budowlanego [mm]</t>
  </si>
  <si>
    <t>Hauteur de la baie de construction [mm]</t>
  </si>
  <si>
    <t>Dagmaat hoogte [mm]</t>
  </si>
  <si>
    <t>Puhas avanemiskõrgus [mm]</t>
  </si>
  <si>
    <t>Oviaukon korkeus [mm]</t>
  </si>
  <si>
    <t>Výška stavebního otvoru (H) [mm]</t>
  </si>
  <si>
    <t>Clear opening height (H) [mm]</t>
  </si>
  <si>
    <t>Höhe der Bauöffnung (H) [mm]</t>
  </si>
  <si>
    <t>Wysokość otworu budowlanego (H) [mm]</t>
  </si>
  <si>
    <t>Hauteur de la baie de construction (H) [mm]</t>
  </si>
  <si>
    <t>Dagmaat hoogte (H) [mm]</t>
  </si>
  <si>
    <t>Puhas avanemiskõrgus (H) [mm]</t>
  </si>
  <si>
    <t>Oviaukon korkeus (H) [mm]</t>
  </si>
  <si>
    <t>Standardní situace</t>
  </si>
  <si>
    <t>Standard situation</t>
  </si>
  <si>
    <t>Standardsituation</t>
  </si>
  <si>
    <t>Sytuacja standardowa</t>
  </si>
  <si>
    <t>Situation standard</t>
  </si>
  <si>
    <t>Standaardsituatie</t>
  </si>
  <si>
    <t>Standardne olukord</t>
  </si>
  <si>
    <t>Vakiotilanne</t>
  </si>
  <si>
    <t>Nestandardní situace</t>
  </si>
  <si>
    <t>Non-standard situation</t>
  </si>
  <si>
    <t>Ungewöhnliche Situation</t>
  </si>
  <si>
    <t>Sytuacja niestandardowa</t>
  </si>
  <si>
    <t>Situation hors de standard</t>
  </si>
  <si>
    <t>Niet-standaardsituaties</t>
  </si>
  <si>
    <t>Ebastandardne olukord</t>
  </si>
  <si>
    <t>Epätyypillinen tilanne</t>
  </si>
  <si>
    <t>Skladba panelů a design křídla je vždy řešen vůči FOH.</t>
  </si>
  <si>
    <t>Panel assembly and design of door leaf is always considered based on FOH.</t>
  </si>
  <si>
    <t>Die Paneelaufteilung und das Design des Torblattes wird immer auf der Basis von FOH-Mass gelöst.</t>
  </si>
  <si>
    <t>Skład paneli i konstrukcja skrzydła jest zawsze rozpatrywane na podstawie FOH.</t>
  </si>
  <si>
    <t>Assemblage de panneau et la conception de battant de porte est toujours considéré comme la base de FOH.</t>
  </si>
  <si>
    <t>Paneel samenstelling en complete opbouw van het deurblad wordt altijd  gebaseerd op FOH.</t>
  </si>
  <si>
    <t>Verze:</t>
  </si>
  <si>
    <t>Version:</t>
  </si>
  <si>
    <t>Wersja:</t>
  </si>
  <si>
    <t>VERSION:</t>
  </si>
  <si>
    <t>Versie:</t>
  </si>
  <si>
    <t>Versioon:</t>
  </si>
  <si>
    <t>Versio:</t>
  </si>
  <si>
    <t>Formát:</t>
  </si>
  <si>
    <t>Sheet:</t>
  </si>
  <si>
    <t>Format:</t>
  </si>
  <si>
    <t>FORMAT:</t>
  </si>
  <si>
    <t>Formaat:</t>
  </si>
  <si>
    <t>Leht:</t>
  </si>
  <si>
    <t>Koko:</t>
  </si>
  <si>
    <t>Pozice zásuvky, cca. 250 mm</t>
  </si>
  <si>
    <t>Position of socket, ca. 250 mm</t>
  </si>
  <si>
    <t>Die Position der Steckdose ca.250 mm</t>
  </si>
  <si>
    <t>Położenie gniazda około 250 mm</t>
  </si>
  <si>
    <t>La position de la prise électrique env. 250 mm</t>
  </si>
  <si>
    <t>Positie van Eurostopcontact CEE, ca. 250mm</t>
  </si>
  <si>
    <t>Pistikupesa asend, ca. 250 mm</t>
  </si>
  <si>
    <t>Pistorasian sijainti, ca. 250 mm</t>
  </si>
  <si>
    <t>Zásuvka typu CEE 7/3 nebo CEE 7/5</t>
  </si>
  <si>
    <t>CEE 7/3 or CEE 7/5 socket</t>
  </si>
  <si>
    <t>Steckdose CEE 7/3 oder CEE 7/5</t>
  </si>
  <si>
    <t>Gniazdo CEE 7/3 lub CEE 7/5</t>
  </si>
  <si>
    <t>Prise CEE 7/3 ou CEE 7/5</t>
  </si>
  <si>
    <t>Eurostopcontact CEE 7/3 of CEE 7/5</t>
  </si>
  <si>
    <t>CEE 7/3 või CEE 7/5 pistikupesa</t>
  </si>
  <si>
    <t>CEE 7/3 või CEE 7/5 pistorasia</t>
  </si>
  <si>
    <t>230V, 50Hz, jištěno 6 A (10 A) jističem</t>
  </si>
  <si>
    <t>230V, 50Hz, protect by 6 A (10 A) circuit breaker</t>
  </si>
  <si>
    <t>230V, 50Hz, Sicherung 6 A (10 A) mit Schutzschalter</t>
  </si>
  <si>
    <t>230V, 50Hz, ochrona za pomocą bezpiecznika 6A (10A)</t>
  </si>
  <si>
    <t>230V, 50Hz, assuré par un disjoncteur 6 A (10 A)</t>
  </si>
  <si>
    <t>230V, 50Hz, afgezekerd met 6A (10A)</t>
  </si>
  <si>
    <t>230V, 50Hz,kaitsta 6 A (10 A) kaitselülitiga</t>
  </si>
  <si>
    <t>230V, 50Hz, 6 A (10 A) suojakytkimellä</t>
  </si>
  <si>
    <t>Šířka stavebního otvoru [mm]</t>
  </si>
  <si>
    <t>Opening width [mm]</t>
  </si>
  <si>
    <t>Lichte Breite [mm]</t>
  </si>
  <si>
    <t>Szerokość otworu [mm]</t>
  </si>
  <si>
    <t>Largeur de baie [mm]</t>
  </si>
  <si>
    <t xml:space="preserve">Opening breedte </t>
  </si>
  <si>
    <t>Ava laius [mm]</t>
  </si>
  <si>
    <t>Oviaukon leveys [mm]</t>
  </si>
  <si>
    <t>Šířka stavebního otvoru (W) [mm]</t>
  </si>
  <si>
    <t>Opening width (W) [mm]</t>
  </si>
  <si>
    <t>Lichte Breite (W) [mm]</t>
  </si>
  <si>
    <t>Szerokość otworu (W) [mm]</t>
  </si>
  <si>
    <t>Largeur de baie (W) [mm]</t>
  </si>
  <si>
    <t>Opening breedte (W) [mm]</t>
  </si>
  <si>
    <t>Ava laius (W) [mm]</t>
  </si>
  <si>
    <t>Oviaukon leveys (L) [mm]</t>
  </si>
  <si>
    <t>Ovládání</t>
  </si>
  <si>
    <t>Operated</t>
  </si>
  <si>
    <t>Bedienung</t>
  </si>
  <si>
    <t>Sterowanie</t>
  </si>
  <si>
    <t>Commande</t>
  </si>
  <si>
    <t>Bediening</t>
  </si>
  <si>
    <t>Opereeritud</t>
  </si>
  <si>
    <t>Käyttötapa</t>
  </si>
  <si>
    <t>ručně</t>
  </si>
  <si>
    <t>manually</t>
  </si>
  <si>
    <t>händisch</t>
  </si>
  <si>
    <t>ręcznie wykonany</t>
  </si>
  <si>
    <t>manuelle</t>
  </si>
  <si>
    <t>handbediend</t>
  </si>
  <si>
    <t>käsitsi</t>
  </si>
  <si>
    <t>elektricky</t>
  </si>
  <si>
    <t xml:space="preserve">electrical </t>
  </si>
  <si>
    <t>elektrisch</t>
  </si>
  <si>
    <t>elektrycznie</t>
  </si>
  <si>
    <t>motorisée</t>
  </si>
  <si>
    <t>elektriliselt</t>
  </si>
  <si>
    <t>Výška nádpraží [mm]</t>
  </si>
  <si>
    <t>Height of lintel [mm]</t>
  </si>
  <si>
    <t>Freiraum über Sturz [mm]</t>
  </si>
  <si>
    <t>Wysokość nadproża [mm]</t>
  </si>
  <si>
    <t>Retombée de linteau [mm]</t>
  </si>
  <si>
    <t>Hoogte van de latei [mm]</t>
  </si>
  <si>
    <t>Silluse kõrgus [mm]</t>
  </si>
  <si>
    <t>Kamanan korkeus [mm]</t>
  </si>
  <si>
    <t>Výška nádpraží (F) [mm]</t>
  </si>
  <si>
    <t>Height of lintel (F) [mm]</t>
  </si>
  <si>
    <t>Freiraum über Sturz (F) [mm]</t>
  </si>
  <si>
    <t>Wysokość nadproża (F) [mm]</t>
  </si>
  <si>
    <t>Retombée de linteau (F) [mm]</t>
  </si>
  <si>
    <t>Hoogte van de latei (F) [mm]</t>
  </si>
  <si>
    <t>Silluse kõrgus (F) [mm]</t>
  </si>
  <si>
    <t>Kamanan korkeus (F) [mm]</t>
  </si>
  <si>
    <t>Typ pohonu</t>
  </si>
  <si>
    <t>Type of motor</t>
  </si>
  <si>
    <t>Der Typ des Antriebs</t>
  </si>
  <si>
    <t>Rodzaj napędu</t>
  </si>
  <si>
    <t>Type de motor</t>
  </si>
  <si>
    <t>Type motor</t>
  </si>
  <si>
    <t>Mootori tüüp</t>
  </si>
  <si>
    <t>Avaajan malli</t>
  </si>
  <si>
    <t>Informace o motoru</t>
  </si>
  <si>
    <t>Information regarding motor</t>
  </si>
  <si>
    <t>Die Information über den Antrieb</t>
  </si>
  <si>
    <t>Informacje o napędu</t>
  </si>
  <si>
    <t>Information concernant le moteur</t>
  </si>
  <si>
    <t>Informatie betreffende de motor</t>
  </si>
  <si>
    <t>Teave mootori kohta</t>
  </si>
  <si>
    <t>Sähköistä avajaa koskevat tiedot</t>
  </si>
  <si>
    <t>Umístění horního těsnění</t>
  </si>
  <si>
    <t>Placement of top sealing</t>
  </si>
  <si>
    <t>Die Unterbringung der Oberdichtung</t>
  </si>
  <si>
    <t>Umieszczenie górnego uszczelnienia</t>
  </si>
  <si>
    <t>Emplacement du joint d'étanchéité</t>
  </si>
  <si>
    <t>Plaatsing van de top afdichting</t>
  </si>
  <si>
    <t>Ülemise tihendi paigaldamine</t>
  </si>
  <si>
    <t>Ylätiivisteen sijoitus</t>
  </si>
  <si>
    <t>na překladu</t>
  </si>
  <si>
    <t>at lintel</t>
  </si>
  <si>
    <t xml:space="preserve">Auf dem Sturz </t>
  </si>
  <si>
    <t>Na nadprožu</t>
  </si>
  <si>
    <t>au linteau</t>
  </si>
  <si>
    <t>op de latei</t>
  </si>
  <si>
    <t>sillusel</t>
  </si>
  <si>
    <t>Kamanassa</t>
  </si>
  <si>
    <t>na horní sekci</t>
  </si>
  <si>
    <t>on the top section</t>
  </si>
  <si>
    <t>Auf der Obersektion</t>
  </si>
  <si>
    <t xml:space="preserve">Na górnej częśći </t>
  </si>
  <si>
    <t>sur le panneau supérieur</t>
  </si>
  <si>
    <t>boven op top paneel</t>
  </si>
  <si>
    <t>ülemise sektsioonil</t>
  </si>
  <si>
    <t>Ylälamellissa</t>
  </si>
  <si>
    <t>Verze SL vedení</t>
  </si>
  <si>
    <t>Version of SL track system</t>
  </si>
  <si>
    <t>Version der SL-Umlenkung</t>
  </si>
  <si>
    <t>SL wersja</t>
  </si>
  <si>
    <t>SL version</t>
  </si>
  <si>
    <t>Versie van SL beslagsysteem</t>
  </si>
  <si>
    <t>SL siinisüsteemi versioon</t>
  </si>
  <si>
    <t>SL nostotavan malli</t>
  </si>
  <si>
    <t>= sety bez předvrtaných otvorů ve svislém úhelníku; svislý úhelník v bílém provedení (RAL 9010)</t>
  </si>
  <si>
    <t>= set without pre-drilled holes in vertical angle; vertical angle in white color (RAL 9010)</t>
  </si>
  <si>
    <t>= Zargensätze ohne vorgeborte Löcher, Ausführung in RAL 9010</t>
  </si>
  <si>
    <t>= zestawy bez wcześniej nawierconych otworów pod kątem pionowym, kąt pionowy w kolorze białym (RAL 9010)</t>
  </si>
  <si>
    <t>= Le kit sans trou percé dans le cornier vertical, le cornier vertical en exécution blanc (RAL 9010)</t>
  </si>
  <si>
    <t>= Set is zonder voorgeboorde gaten in verticale hoek; verticale hoek in kleur wit (RAL 9010)</t>
  </si>
  <si>
    <t>průjezdná výška může být snížena příslušenstvím nainstalovaným na vnitřní straně vratového křídla (madlo, výztuha apod.)</t>
  </si>
  <si>
    <t>clear height could be decreased by accessories installed on inner side of door leaf (handgrip, reinforcing strut etc.)</t>
  </si>
  <si>
    <t>Durchfahrtshöhe kann bei der Montage der Zubehörteile an die Innenseite des Torflügels reduziert werden (betrifft Handgriff, Versteifungen, etc.)</t>
  </si>
  <si>
    <t>wysokość prześwitu może zostać zmniejszona dzięki akcesoriom zainstalowanym po wewnętrznej stronie skrzydła drzwi (uchwyt, wzmocnienie itp.)</t>
  </si>
  <si>
    <t>L´ouverture de passage peut être réduite par les accessoires installés en intérieur du vantail de porte (les poignées, les renforts etc.)</t>
  </si>
  <si>
    <t>De hoogte van de vrije ruimte kan worden verlaagd door accessoires die aan de binnenkant van het deurblad zijn gemonteerd (handgreep, verstevigingsprofielen, enz.)</t>
  </si>
  <si>
    <t>puhaskõrgust saab vähendada ukselehe siseküljele paigaldatud tarvitute abil (käepide, tugevdustala jne)</t>
  </si>
  <si>
    <t>Vapaan kulkuaukon korkeus voi väheentyä ovilehteen kinnitetyn lisävarustuksen takia (jäykistin, käsikahva jne.)</t>
  </si>
  <si>
    <t>při použití zarážky vratového křídla</t>
  </si>
  <si>
    <t>when door stopper is used</t>
  </si>
  <si>
    <t>bei der Verwendung der Toorflügelsperre</t>
  </si>
  <si>
    <t>przy użyciu ogranicznika skrzydła bramy</t>
  </si>
  <si>
    <t>avec la butée pour ventail de porte</t>
  </si>
  <si>
    <t>wanneer de deurstopper wordt gebruikt</t>
  </si>
  <si>
    <t>ukselehe stopperi kasutamisel</t>
  </si>
  <si>
    <t>Ovilehden stopparia käytettäessä</t>
  </si>
  <si>
    <t>Minimální únosnost stropu/maximální zatížení v každém kotevním bodě: 100 kg</t>
  </si>
  <si>
    <t>Min. load capacity of ceiling/max. weight per hanging point: 100 kg</t>
  </si>
  <si>
    <t>Minimale Tragfähigkeit der Decke/maximale Belastung in jedem einzelnen Befestigungspunkt: 100kg</t>
  </si>
  <si>
    <t>Minimalne obciążenie sufitu / maksymalne obciążenie w każdym punkcie uchwycenia: 100 kg</t>
  </si>
  <si>
    <t>Capacité min.de charge du plafond / capacité max.de charge des points d´ancre : 100kg</t>
  </si>
  <si>
    <t>Minimaal draagvermogen van plafond/maximaal gewicht per bevestigingspunt: 100kg</t>
  </si>
  <si>
    <t>Min. lae kandevõime/max kaal ühe riputuspunkti kohta: 100 kg</t>
  </si>
  <si>
    <t>Katon min. kantavuus/ max paino per ripustuspiste: 100 kg.</t>
  </si>
  <si>
    <t>Typ lišty pohonu</t>
  </si>
  <si>
    <t>Type of motor track</t>
  </si>
  <si>
    <t>Typ der Antriebsleiste</t>
  </si>
  <si>
    <t>Typ szyny napędowej</t>
  </si>
  <si>
    <t>Type de la glissière de propulsion</t>
  </si>
  <si>
    <t>Type van de motorgeleidingsrail</t>
  </si>
  <si>
    <t>Mootorisiini tüüp</t>
  </si>
  <si>
    <t>Moottoripalkin tyyppi</t>
  </si>
  <si>
    <t>Lišta pohonu příliš krátká</t>
  </si>
  <si>
    <t>Motor track too short</t>
  </si>
  <si>
    <t>Antriebsleiste zu kurz</t>
  </si>
  <si>
    <t>Drążek napędowy za krótki</t>
  </si>
  <si>
    <t>Barre d'entraînement trop courte</t>
  </si>
  <si>
    <t>Aandrijfstang te kort</t>
  </si>
  <si>
    <t>Liiga lühike ajamiriba</t>
  </si>
  <si>
    <t>Vetopalkki liian lyhyt</t>
  </si>
  <si>
    <t>Výběr jazyka</t>
  </si>
  <si>
    <t>Hloubka vedení</t>
  </si>
  <si>
    <t>Délka pohonu</t>
  </si>
  <si>
    <t>Kotvící bod pohonu</t>
  </si>
  <si>
    <t>Kotvící bod lišty</t>
  </si>
  <si>
    <t>Výběr uložení</t>
  </si>
  <si>
    <t>Ano</t>
  </si>
  <si>
    <t>Ne</t>
  </si>
  <si>
    <t>D600</t>
  </si>
  <si>
    <t>D1000</t>
  </si>
  <si>
    <t>---</t>
  </si>
  <si>
    <t>F390119</t>
  </si>
  <si>
    <t>F390126</t>
  </si>
  <si>
    <t>F390132</t>
  </si>
  <si>
    <t>F390139</t>
  </si>
  <si>
    <t>GV-SL</t>
  </si>
  <si>
    <t>SL 350</t>
  </si>
  <si>
    <t>SL 420</t>
  </si>
  <si>
    <t>GV-SL-Ki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</si>
</sst>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36"/>
      <color theme="1"/>
      <name val="Calibri"/>
      <family val="2"/>
      <charset val="238"/>
      <scheme val="minor"/>
    </font>
    <font>
      <b/>
      <sz val="11"/>
      <color theme="5" tint="-0.249977111117893"/>
      <name val="Calibri"/>
      <family val="2"/>
      <charset val="238"/>
      <scheme val="minor"/>
    </font>
    <font>
      <sz val="11"/>
      <color theme="5" tint="-0.249977111117893"/>
      <name val="Calibri"/>
      <family val="2"/>
      <charset val="238"/>
      <scheme val="minor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Alignment="1">
      <alignment horizontal="right"/>
    </xf>
    <xf numFmtId="0" fontId="0" fillId="0" borderId="5" xfId="0" applyBorder="1"/>
    <xf numFmtId="0" fontId="0" fillId="0" borderId="6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0" xfId="0" applyAlignment="1">
      <alignment horizont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 textRotation="90"/>
    </xf>
    <xf numFmtId="0" fontId="0" fillId="0" borderId="12" xfId="0" applyBorder="1"/>
    <xf numFmtId="0" fontId="0" fillId="0" borderId="0" xfId="0" applyAlignment="1">
      <alignment vertical="top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8" fillId="0" borderId="24" xfId="0" applyFont="1" applyBorder="1"/>
    <xf numFmtId="0" fontId="9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9" xfId="0" applyFont="1" applyBorder="1"/>
    <xf numFmtId="0" fontId="9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18" xfId="0" applyFont="1" applyBorder="1"/>
    <xf numFmtId="0" fontId="9" fillId="0" borderId="19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0" fillId="0" borderId="0" xfId="0" quotePrefix="1" applyAlignment="1">
      <alignment horizontal="right"/>
    </xf>
    <xf numFmtId="0" fontId="0" fillId="0" borderId="24" xfId="0" applyBorder="1"/>
    <xf numFmtId="0" fontId="1" fillId="0" borderId="25" xfId="0" applyFont="1" applyBorder="1" applyAlignment="1">
      <alignment horizontal="center"/>
    </xf>
    <xf numFmtId="0" fontId="0" fillId="0" borderId="29" xfId="0" applyBorder="1"/>
    <xf numFmtId="0" fontId="1" fillId="0" borderId="30" xfId="0" applyFont="1" applyBorder="1" applyAlignment="1">
      <alignment horizontal="center"/>
    </xf>
    <xf numFmtId="0" fontId="0" fillId="0" borderId="18" xfId="0" applyBorder="1"/>
    <xf numFmtId="0" fontId="1" fillId="0" borderId="19" xfId="0" applyFont="1" applyBorder="1" applyAlignment="1">
      <alignment horizontal="center"/>
    </xf>
    <xf numFmtId="0" fontId="10" fillId="0" borderId="15" xfId="0" applyFont="1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3" xfId="0" applyBorder="1"/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20" xfId="0" applyBorder="1"/>
    <xf numFmtId="0" fontId="0" fillId="0" borderId="21" xfId="0" applyBorder="1"/>
    <xf numFmtId="0" fontId="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/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/>
    <xf numFmtId="0" fontId="0" fillId="0" borderId="0" xfId="0" applyAlignment="1">
      <alignment vertical="center"/>
    </xf>
    <xf numFmtId="0" fontId="16" fillId="0" borderId="0" xfId="0" quotePrefix="1" applyFont="1"/>
    <xf numFmtId="0" fontId="0" fillId="0" borderId="0" xfId="0" quotePrefix="1" applyAlignment="1">
      <alignment vertical="center"/>
    </xf>
    <xf numFmtId="0" fontId="1" fillId="0" borderId="0" xfId="0" applyFont="1"/>
    <xf numFmtId="0" fontId="0" fillId="2" borderId="33" xfId="0" applyFill="1" applyBorder="1"/>
    <xf numFmtId="0" fontId="0" fillId="2" borderId="32" xfId="0" applyFill="1" applyBorder="1"/>
    <xf numFmtId="0" fontId="0" fillId="2" borderId="31" xfId="0" applyFill="1" applyBorder="1"/>
    <xf numFmtId="0" fontId="0" fillId="0" borderId="33" xfId="0" applyBorder="1"/>
    <xf numFmtId="0" fontId="0" fillId="3" borderId="32" xfId="0" applyFill="1" applyBorder="1"/>
    <xf numFmtId="0" fontId="0" fillId="3" borderId="31" xfId="0" applyFill="1" applyBorder="1"/>
    <xf numFmtId="0" fontId="0" fillId="0" borderId="33" xfId="0" quotePrefix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1" fillId="0" borderId="49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0" fillId="0" borderId="0" xfId="0" applyAlignment="1">
      <alignment horizontal="center" textRotation="90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right" textRotation="9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2" borderId="8" xfId="0" applyFont="1" applyFill="1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</xdr:colOff>
      <xdr:row>15</xdr:row>
      <xdr:rowOff>161925</xdr:rowOff>
    </xdr:from>
    <xdr:to>
      <xdr:col>15</xdr:col>
      <xdr:colOff>316720</xdr:colOff>
      <xdr:row>50</xdr:row>
      <xdr:rowOff>126486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B989CADF-7CCD-495D-923B-0D95349D3C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7850" y="3009900"/>
          <a:ext cx="7574770" cy="6641586"/>
        </a:xfrm>
        <a:prstGeom prst="rect">
          <a:avLst/>
        </a:prstGeom>
      </xdr:spPr>
    </xdr:pic>
    <xdr:clientData/>
  </xdr:twoCellAnchor>
  <xdr:twoCellAnchor editAs="oneCell">
    <xdr:from>
      <xdr:col>1</xdr:col>
      <xdr:colOff>167269</xdr:colOff>
      <xdr:row>16</xdr:row>
      <xdr:rowOff>150718</xdr:rowOff>
    </xdr:from>
    <xdr:to>
      <xdr:col>15</xdr:col>
      <xdr:colOff>103465</xdr:colOff>
      <xdr:row>19</xdr:row>
      <xdr:rowOff>88631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8C9C93DC-A8B8-4F64-A5DE-B93072BB435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43945"/>
        <a:stretch/>
      </xdr:blipFill>
      <xdr:spPr>
        <a:xfrm>
          <a:off x="757819" y="3179668"/>
          <a:ext cx="8451546" cy="480838"/>
        </a:xfrm>
        <a:prstGeom prst="rect">
          <a:avLst/>
        </a:prstGeom>
      </xdr:spPr>
    </xdr:pic>
    <xdr:clientData/>
  </xdr:twoCellAnchor>
  <xdr:twoCellAnchor editAs="oneCell">
    <xdr:from>
      <xdr:col>22</xdr:col>
      <xdr:colOff>63501</xdr:colOff>
      <xdr:row>61</xdr:row>
      <xdr:rowOff>50800</xdr:rowOff>
    </xdr:from>
    <xdr:to>
      <xdr:col>23</xdr:col>
      <xdr:colOff>592463</xdr:colOff>
      <xdr:row>66</xdr:row>
      <xdr:rowOff>152400</xdr:rowOff>
    </xdr:to>
    <xdr:pic>
      <xdr:nvPicPr>
        <xdr:cNvPr id="4" name="Obrázek Toors">
          <a:extLst>
            <a:ext uri="{FF2B5EF4-FFF2-40B4-BE49-F238E27FC236}">
              <a16:creationId xmlns:a16="http://schemas.microsoft.com/office/drawing/2014/main" id="{229EBD21-CE2C-435B-AE3C-E974A21D6D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002" b="6400"/>
        <a:stretch>
          <a:fillRect/>
        </a:stretch>
      </xdr:blipFill>
      <xdr:spPr bwMode="auto">
        <a:xfrm>
          <a:off x="13303251" y="11699875"/>
          <a:ext cx="1119512" cy="1025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50</xdr:row>
      <xdr:rowOff>78187</xdr:rowOff>
    </xdr:from>
    <xdr:to>
      <xdr:col>17</xdr:col>
      <xdr:colOff>41450</xdr:colOff>
      <xdr:row>51</xdr:row>
      <xdr:rowOff>23154</xdr:rowOff>
    </xdr:to>
    <xdr:sp macro="" textlink="">
      <xdr:nvSpPr>
        <xdr:cNvPr id="5" name="Rectangle 376" descr="Široký šikmo nahoru">
          <a:extLst>
            <a:ext uri="{FF2B5EF4-FFF2-40B4-BE49-F238E27FC236}">
              <a16:creationId xmlns:a16="http://schemas.microsoft.com/office/drawing/2014/main" id="{19867035-05D8-4235-A138-818BD42E755F}"/>
            </a:ext>
          </a:extLst>
        </xdr:cNvPr>
        <xdr:cNvSpPr>
          <a:spLocks noChangeArrowheads="1"/>
        </xdr:cNvSpPr>
      </xdr:nvSpPr>
      <xdr:spPr bwMode="auto">
        <a:xfrm rot="5400000">
          <a:off x="5387004" y="4806733"/>
          <a:ext cx="144992" cy="9737900"/>
        </a:xfrm>
        <a:prstGeom prst="rect">
          <a:avLst/>
        </a:prstGeom>
        <a:pattFill prst="wdUpDiag">
          <a:fgClr>
            <a:schemeClr val="tx1">
              <a:lumMod val="65000"/>
              <a:lumOff val="35000"/>
            </a:schemeClr>
          </a:fgClr>
          <a:bgClr>
            <a:schemeClr val="bg1">
              <a:lumMod val="65000"/>
            </a:schemeClr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400943</xdr:colOff>
      <xdr:row>21</xdr:row>
      <xdr:rowOff>43132</xdr:rowOff>
    </xdr:from>
    <xdr:to>
      <xdr:col>10</xdr:col>
      <xdr:colOff>400943</xdr:colOff>
      <xdr:row>50</xdr:row>
      <xdr:rowOff>81972</xdr:rowOff>
    </xdr:to>
    <xdr:cxnSp macro="">
      <xdr:nvCxnSpPr>
        <xdr:cNvPr id="6" name="Přímá spojnice 5">
          <a:extLst>
            <a:ext uri="{FF2B5EF4-FFF2-40B4-BE49-F238E27FC236}">
              <a16:creationId xmlns:a16="http://schemas.microsoft.com/office/drawing/2014/main" id="{527D8B82-4C82-4609-A5E2-A6D513949E4B}"/>
            </a:ext>
          </a:extLst>
        </xdr:cNvPr>
        <xdr:cNvCxnSpPr/>
      </xdr:nvCxnSpPr>
      <xdr:spPr>
        <a:xfrm>
          <a:off x="6477893" y="3976957"/>
          <a:ext cx="0" cy="5630015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238990</xdr:colOff>
      <xdr:row>16</xdr:row>
      <xdr:rowOff>5772</xdr:rowOff>
    </xdr:from>
    <xdr:to>
      <xdr:col>15</xdr:col>
      <xdr:colOff>127061</xdr:colOff>
      <xdr:row>16</xdr:row>
      <xdr:rowOff>141234</xdr:rowOff>
    </xdr:to>
    <xdr:sp macro="" textlink="">
      <xdr:nvSpPr>
        <xdr:cNvPr id="7" name="Rectangle 376" descr="Široký šikmo nahoru">
          <a:extLst>
            <a:ext uri="{FF2B5EF4-FFF2-40B4-BE49-F238E27FC236}">
              <a16:creationId xmlns:a16="http://schemas.microsoft.com/office/drawing/2014/main" id="{E36A62AE-AA42-4032-BB20-61C6AE1F4201}"/>
            </a:ext>
          </a:extLst>
        </xdr:cNvPr>
        <xdr:cNvSpPr>
          <a:spLocks noChangeArrowheads="1"/>
        </xdr:cNvSpPr>
      </xdr:nvSpPr>
      <xdr:spPr bwMode="auto">
        <a:xfrm rot="5400000">
          <a:off x="4668245" y="-1394533"/>
          <a:ext cx="135462" cy="8993971"/>
        </a:xfrm>
        <a:prstGeom prst="rect">
          <a:avLst/>
        </a:prstGeom>
        <a:pattFill prst="wdUpDiag">
          <a:fgClr>
            <a:schemeClr val="tx1">
              <a:lumMod val="65000"/>
              <a:lumOff val="35000"/>
            </a:schemeClr>
          </a:fgClr>
          <a:bgClr>
            <a:schemeClr val="bg1">
              <a:lumMod val="65000"/>
            </a:schemeClr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424078</xdr:colOff>
      <xdr:row>21</xdr:row>
      <xdr:rowOff>188976</xdr:rowOff>
    </xdr:from>
    <xdr:to>
      <xdr:col>6</xdr:col>
      <xdr:colOff>424078</xdr:colOff>
      <xdr:row>50</xdr:row>
      <xdr:rowOff>75008</xdr:rowOff>
    </xdr:to>
    <xdr:cxnSp macro="">
      <xdr:nvCxnSpPr>
        <xdr:cNvPr id="8" name="Přímá spojnice 7">
          <a:extLst>
            <a:ext uri="{FF2B5EF4-FFF2-40B4-BE49-F238E27FC236}">
              <a16:creationId xmlns:a16="http://schemas.microsoft.com/office/drawing/2014/main" id="{0449DE5F-E06B-431B-9430-012D145FFA07}"/>
            </a:ext>
          </a:extLst>
        </xdr:cNvPr>
        <xdr:cNvCxnSpPr/>
      </xdr:nvCxnSpPr>
      <xdr:spPr>
        <a:xfrm>
          <a:off x="4062628" y="4122801"/>
          <a:ext cx="0" cy="5477207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93195</xdr:colOff>
      <xdr:row>16</xdr:row>
      <xdr:rowOff>5773</xdr:rowOff>
    </xdr:from>
    <xdr:to>
      <xdr:col>15</xdr:col>
      <xdr:colOff>245540</xdr:colOff>
      <xdr:row>20</xdr:row>
      <xdr:rowOff>55302</xdr:rowOff>
    </xdr:to>
    <xdr:sp macro="" textlink="">
      <xdr:nvSpPr>
        <xdr:cNvPr id="9" name="Rectangle 375" descr="Široký šikmo nahoru">
          <a:extLst>
            <a:ext uri="{FF2B5EF4-FFF2-40B4-BE49-F238E27FC236}">
              <a16:creationId xmlns:a16="http://schemas.microsoft.com/office/drawing/2014/main" id="{2094B580-D022-4B78-A057-8BBC8AC728B5}"/>
            </a:ext>
          </a:extLst>
        </xdr:cNvPr>
        <xdr:cNvSpPr>
          <a:spLocks noChangeArrowheads="1"/>
        </xdr:cNvSpPr>
      </xdr:nvSpPr>
      <xdr:spPr bwMode="auto">
        <a:xfrm>
          <a:off x="9199095" y="3034723"/>
          <a:ext cx="152345" cy="773429"/>
        </a:xfrm>
        <a:prstGeom prst="rect">
          <a:avLst/>
        </a:prstGeom>
        <a:pattFill prst="wdUpDiag">
          <a:fgClr>
            <a:schemeClr val="tx1">
              <a:lumMod val="65000"/>
              <a:lumOff val="35000"/>
            </a:schemeClr>
          </a:fgClr>
          <a:bgClr>
            <a:schemeClr val="bg1">
              <a:lumMod val="65000"/>
            </a:schemeClr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436522</xdr:colOff>
      <xdr:row>16</xdr:row>
      <xdr:rowOff>149352</xdr:rowOff>
    </xdr:from>
    <xdr:to>
      <xdr:col>16</xdr:col>
      <xdr:colOff>436522</xdr:colOff>
      <xdr:row>50</xdr:row>
      <xdr:rowOff>78630</xdr:rowOff>
    </xdr:to>
    <xdr:cxnSp macro="">
      <xdr:nvCxnSpPr>
        <xdr:cNvPr id="10" name="Přímá spojnice 9">
          <a:extLst>
            <a:ext uri="{FF2B5EF4-FFF2-40B4-BE49-F238E27FC236}">
              <a16:creationId xmlns:a16="http://schemas.microsoft.com/office/drawing/2014/main" id="{D87372EB-6DC7-4019-9E64-DDE87D595116}"/>
            </a:ext>
          </a:extLst>
        </xdr:cNvPr>
        <xdr:cNvCxnSpPr/>
      </xdr:nvCxnSpPr>
      <xdr:spPr>
        <a:xfrm>
          <a:off x="10132972" y="3178302"/>
          <a:ext cx="0" cy="6425328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12708</xdr:colOff>
      <xdr:row>20</xdr:row>
      <xdr:rowOff>59112</xdr:rowOff>
    </xdr:from>
    <xdr:to>
      <xdr:col>16</xdr:col>
      <xdr:colOff>12708</xdr:colOff>
      <xdr:row>50</xdr:row>
      <xdr:rowOff>82640</xdr:rowOff>
    </xdr:to>
    <xdr:cxnSp macro="">
      <xdr:nvCxnSpPr>
        <xdr:cNvPr id="11" name="Přímá spojnice 10">
          <a:extLst>
            <a:ext uri="{FF2B5EF4-FFF2-40B4-BE49-F238E27FC236}">
              <a16:creationId xmlns:a16="http://schemas.microsoft.com/office/drawing/2014/main" id="{FAADB088-8556-414B-99DC-1FDCE0261F84}"/>
            </a:ext>
          </a:extLst>
        </xdr:cNvPr>
        <xdr:cNvCxnSpPr/>
      </xdr:nvCxnSpPr>
      <xdr:spPr>
        <a:xfrm>
          <a:off x="9709158" y="3811962"/>
          <a:ext cx="0" cy="5795678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88908</xdr:colOff>
      <xdr:row>10</xdr:row>
      <xdr:rowOff>88900</xdr:rowOff>
    </xdr:from>
    <xdr:to>
      <xdr:col>15</xdr:col>
      <xdr:colOff>88908</xdr:colOff>
      <xdr:row>16</xdr:row>
      <xdr:rowOff>0</xdr:rowOff>
    </xdr:to>
    <xdr:cxnSp macro="">
      <xdr:nvCxnSpPr>
        <xdr:cNvPr id="12" name="Přímá spojnice 11">
          <a:extLst>
            <a:ext uri="{FF2B5EF4-FFF2-40B4-BE49-F238E27FC236}">
              <a16:creationId xmlns:a16="http://schemas.microsoft.com/office/drawing/2014/main" id="{7EBC79CC-9A7D-481E-B016-207211F5927C}"/>
            </a:ext>
          </a:extLst>
        </xdr:cNvPr>
        <xdr:cNvCxnSpPr/>
      </xdr:nvCxnSpPr>
      <xdr:spPr>
        <a:xfrm>
          <a:off x="9194808" y="2003425"/>
          <a:ext cx="0" cy="102552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192505</xdr:colOff>
      <xdr:row>13</xdr:row>
      <xdr:rowOff>71508</xdr:rowOff>
    </xdr:from>
    <xdr:to>
      <xdr:col>15</xdr:col>
      <xdr:colOff>84591</xdr:colOff>
      <xdr:row>13</xdr:row>
      <xdr:rowOff>71508</xdr:rowOff>
    </xdr:to>
    <xdr:cxnSp macro="">
      <xdr:nvCxnSpPr>
        <xdr:cNvPr id="13" name="Přímá spojnice 12">
          <a:extLst>
            <a:ext uri="{FF2B5EF4-FFF2-40B4-BE49-F238E27FC236}">
              <a16:creationId xmlns:a16="http://schemas.microsoft.com/office/drawing/2014/main" id="{6CD0D8CF-33DC-4F02-9D58-AB94EBBBEC06}"/>
            </a:ext>
          </a:extLst>
        </xdr:cNvPr>
        <xdr:cNvCxnSpPr/>
      </xdr:nvCxnSpPr>
      <xdr:spPr>
        <a:xfrm>
          <a:off x="2002255" y="2557533"/>
          <a:ext cx="7188236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122343</xdr:colOff>
      <xdr:row>12</xdr:row>
      <xdr:rowOff>18472</xdr:rowOff>
    </xdr:from>
    <xdr:to>
      <xdr:col>2</xdr:col>
      <xdr:colOff>122344</xdr:colOff>
      <xdr:row>16</xdr:row>
      <xdr:rowOff>144966</xdr:rowOff>
    </xdr:to>
    <xdr:cxnSp macro="">
      <xdr:nvCxnSpPr>
        <xdr:cNvPr id="14" name="Přímá spojnice 13">
          <a:extLst>
            <a:ext uri="{FF2B5EF4-FFF2-40B4-BE49-F238E27FC236}">
              <a16:creationId xmlns:a16="http://schemas.microsoft.com/office/drawing/2014/main" id="{996C1ABA-6E82-48DD-8B01-8C3A3B9CC9FF}"/>
            </a:ext>
          </a:extLst>
        </xdr:cNvPr>
        <xdr:cNvCxnSpPr/>
      </xdr:nvCxnSpPr>
      <xdr:spPr>
        <a:xfrm flipH="1">
          <a:off x="1322493" y="2313997"/>
          <a:ext cx="1" cy="859919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123332</xdr:colOff>
      <xdr:row>12</xdr:row>
      <xdr:rowOff>76866</xdr:rowOff>
    </xdr:from>
    <xdr:to>
      <xdr:col>15</xdr:col>
      <xdr:colOff>85860</xdr:colOff>
      <xdr:row>12</xdr:row>
      <xdr:rowOff>76866</xdr:rowOff>
    </xdr:to>
    <xdr:cxnSp macro="">
      <xdr:nvCxnSpPr>
        <xdr:cNvPr id="15" name="Přímá spojnice 14">
          <a:extLst>
            <a:ext uri="{FF2B5EF4-FFF2-40B4-BE49-F238E27FC236}">
              <a16:creationId xmlns:a16="http://schemas.microsoft.com/office/drawing/2014/main" id="{8A6B89C7-4659-474C-B56B-70A1559E4F74}"/>
            </a:ext>
          </a:extLst>
        </xdr:cNvPr>
        <xdr:cNvCxnSpPr/>
      </xdr:nvCxnSpPr>
      <xdr:spPr>
        <a:xfrm>
          <a:off x="1323482" y="2372391"/>
          <a:ext cx="7868278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210956</xdr:colOff>
      <xdr:row>10</xdr:row>
      <xdr:rowOff>129461</xdr:rowOff>
    </xdr:from>
    <xdr:to>
      <xdr:col>1</xdr:col>
      <xdr:colOff>210956</xdr:colOff>
      <xdr:row>17</xdr:row>
      <xdr:rowOff>183572</xdr:rowOff>
    </xdr:to>
    <xdr:cxnSp macro="">
      <xdr:nvCxnSpPr>
        <xdr:cNvPr id="16" name="Přímá spojnice 15">
          <a:extLst>
            <a:ext uri="{FF2B5EF4-FFF2-40B4-BE49-F238E27FC236}">
              <a16:creationId xmlns:a16="http://schemas.microsoft.com/office/drawing/2014/main" id="{2666D244-66BA-400E-A246-AC0FC149E8C7}"/>
            </a:ext>
          </a:extLst>
        </xdr:cNvPr>
        <xdr:cNvCxnSpPr/>
      </xdr:nvCxnSpPr>
      <xdr:spPr>
        <a:xfrm>
          <a:off x="801506" y="2043986"/>
          <a:ext cx="0" cy="1349511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208234</xdr:colOff>
      <xdr:row>10</xdr:row>
      <xdr:rowOff>179207</xdr:rowOff>
    </xdr:from>
    <xdr:to>
      <xdr:col>15</xdr:col>
      <xdr:colOff>85860</xdr:colOff>
      <xdr:row>10</xdr:row>
      <xdr:rowOff>179207</xdr:rowOff>
    </xdr:to>
    <xdr:cxnSp macro="">
      <xdr:nvCxnSpPr>
        <xdr:cNvPr id="17" name="Přímá spojnice 16">
          <a:extLst>
            <a:ext uri="{FF2B5EF4-FFF2-40B4-BE49-F238E27FC236}">
              <a16:creationId xmlns:a16="http://schemas.microsoft.com/office/drawing/2014/main" id="{2E549B2F-4D62-40C6-B2EA-3A767AE786DE}"/>
            </a:ext>
          </a:extLst>
        </xdr:cNvPr>
        <xdr:cNvCxnSpPr/>
      </xdr:nvCxnSpPr>
      <xdr:spPr>
        <a:xfrm>
          <a:off x="798784" y="2093732"/>
          <a:ext cx="8392976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398760</xdr:colOff>
      <xdr:row>16</xdr:row>
      <xdr:rowOff>135013</xdr:rowOff>
    </xdr:from>
    <xdr:to>
      <xdr:col>1</xdr:col>
      <xdr:colOff>10140</xdr:colOff>
      <xdr:row>17</xdr:row>
      <xdr:rowOff>135013</xdr:rowOff>
    </xdr:to>
    <xdr:sp macro="" textlink="">
      <xdr:nvSpPr>
        <xdr:cNvPr id="18" name="Rectangle 376" descr="Široký šikmo nahoru">
          <a:extLst>
            <a:ext uri="{FF2B5EF4-FFF2-40B4-BE49-F238E27FC236}">
              <a16:creationId xmlns:a16="http://schemas.microsoft.com/office/drawing/2014/main" id="{29146EF1-F7D5-4751-9590-9178C5F38DD6}"/>
            </a:ext>
          </a:extLst>
        </xdr:cNvPr>
        <xdr:cNvSpPr>
          <a:spLocks noChangeArrowheads="1"/>
        </xdr:cNvSpPr>
      </xdr:nvSpPr>
      <xdr:spPr bwMode="auto">
        <a:xfrm flipH="1">
          <a:off x="398760" y="3163963"/>
          <a:ext cx="201930" cy="180975"/>
        </a:xfrm>
        <a:prstGeom prst="rect">
          <a:avLst/>
        </a:prstGeom>
        <a:solidFill>
          <a:schemeClr val="tx1"/>
        </a:solidFill>
        <a:ln w="952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509250</xdr:colOff>
      <xdr:row>10</xdr:row>
      <xdr:rowOff>129389</xdr:rowOff>
    </xdr:from>
    <xdr:to>
      <xdr:col>0</xdr:col>
      <xdr:colOff>509900</xdr:colOff>
      <xdr:row>16</xdr:row>
      <xdr:rowOff>135013</xdr:rowOff>
    </xdr:to>
    <xdr:cxnSp macro="">
      <xdr:nvCxnSpPr>
        <xdr:cNvPr id="19" name="Přímá spojnice 18">
          <a:extLst>
            <a:ext uri="{FF2B5EF4-FFF2-40B4-BE49-F238E27FC236}">
              <a16:creationId xmlns:a16="http://schemas.microsoft.com/office/drawing/2014/main" id="{6A0B4027-57B7-43BF-A7CC-B20F9A9ECD67}"/>
            </a:ext>
          </a:extLst>
        </xdr:cNvPr>
        <xdr:cNvCxnSpPr>
          <a:endCxn id="18" idx="0"/>
        </xdr:cNvCxnSpPr>
      </xdr:nvCxnSpPr>
      <xdr:spPr>
        <a:xfrm flipH="1">
          <a:off x="509250" y="2043914"/>
          <a:ext cx="650" cy="1120049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509250</xdr:colOff>
      <xdr:row>17</xdr:row>
      <xdr:rowOff>135013</xdr:rowOff>
    </xdr:from>
    <xdr:to>
      <xdr:col>2</xdr:col>
      <xdr:colOff>0</xdr:colOff>
      <xdr:row>24</xdr:row>
      <xdr:rowOff>0</xdr:rowOff>
    </xdr:to>
    <xdr:cxnSp macro="">
      <xdr:nvCxnSpPr>
        <xdr:cNvPr id="20" name="Přímá spojnice 142">
          <a:extLst>
            <a:ext uri="{FF2B5EF4-FFF2-40B4-BE49-F238E27FC236}">
              <a16:creationId xmlns:a16="http://schemas.microsoft.com/office/drawing/2014/main" id="{2E44943C-B222-4814-B034-D643B5239CC0}"/>
            </a:ext>
          </a:extLst>
        </xdr:cNvPr>
        <xdr:cNvCxnSpPr>
          <a:stCxn id="18" idx="2"/>
        </xdr:cNvCxnSpPr>
      </xdr:nvCxnSpPr>
      <xdr:spPr>
        <a:xfrm>
          <a:off x="509250" y="3344938"/>
          <a:ext cx="690900" cy="1150862"/>
        </a:xfrm>
        <a:prstGeom prst="straightConnector1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507972</xdr:colOff>
      <xdr:row>10</xdr:row>
      <xdr:rowOff>181254</xdr:rowOff>
    </xdr:from>
    <xdr:to>
      <xdr:col>1</xdr:col>
      <xdr:colOff>208088</xdr:colOff>
      <xdr:row>10</xdr:row>
      <xdr:rowOff>181255</xdr:rowOff>
    </xdr:to>
    <xdr:cxnSp macro="">
      <xdr:nvCxnSpPr>
        <xdr:cNvPr id="21" name="Přímá spojnice 20">
          <a:extLst>
            <a:ext uri="{FF2B5EF4-FFF2-40B4-BE49-F238E27FC236}">
              <a16:creationId xmlns:a16="http://schemas.microsoft.com/office/drawing/2014/main" id="{924C4FA4-6B3F-4E54-A7EC-D0374AD3E665}"/>
            </a:ext>
          </a:extLst>
        </xdr:cNvPr>
        <xdr:cNvCxnSpPr/>
      </xdr:nvCxnSpPr>
      <xdr:spPr>
        <a:xfrm>
          <a:off x="507972" y="2095779"/>
          <a:ext cx="290666" cy="1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188939</xdr:colOff>
      <xdr:row>12</xdr:row>
      <xdr:rowOff>164431</xdr:rowOff>
    </xdr:from>
    <xdr:to>
      <xdr:col>3</xdr:col>
      <xdr:colOff>188939</xdr:colOff>
      <xdr:row>19</xdr:row>
      <xdr:rowOff>107230</xdr:rowOff>
    </xdr:to>
    <xdr:cxnSp macro="">
      <xdr:nvCxnSpPr>
        <xdr:cNvPr id="22" name="Přímá spojnice 21">
          <a:extLst>
            <a:ext uri="{FF2B5EF4-FFF2-40B4-BE49-F238E27FC236}">
              <a16:creationId xmlns:a16="http://schemas.microsoft.com/office/drawing/2014/main" id="{1A5D9A0F-DC04-463B-80A7-4152F9CC768D}"/>
            </a:ext>
          </a:extLst>
        </xdr:cNvPr>
        <xdr:cNvCxnSpPr/>
      </xdr:nvCxnSpPr>
      <xdr:spPr>
        <a:xfrm>
          <a:off x="1998689" y="2459956"/>
          <a:ext cx="0" cy="1219149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108857</xdr:colOff>
      <xdr:row>20</xdr:row>
      <xdr:rowOff>54315</xdr:rowOff>
    </xdr:from>
    <xdr:to>
      <xdr:col>16</xdr:col>
      <xdr:colOff>129997</xdr:colOff>
      <xdr:row>20</xdr:row>
      <xdr:rowOff>54316</xdr:rowOff>
    </xdr:to>
    <xdr:cxnSp macro="">
      <xdr:nvCxnSpPr>
        <xdr:cNvPr id="23" name="Přímá spojnice 22">
          <a:extLst>
            <a:ext uri="{FF2B5EF4-FFF2-40B4-BE49-F238E27FC236}">
              <a16:creationId xmlns:a16="http://schemas.microsoft.com/office/drawing/2014/main" id="{F2064E67-6729-4307-B3FD-6E857E3119C5}"/>
            </a:ext>
          </a:extLst>
        </xdr:cNvPr>
        <xdr:cNvCxnSpPr/>
      </xdr:nvCxnSpPr>
      <xdr:spPr>
        <a:xfrm flipV="1">
          <a:off x="9214757" y="3807165"/>
          <a:ext cx="611690" cy="1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252986</xdr:colOff>
      <xdr:row>16</xdr:row>
      <xdr:rowOff>150033</xdr:rowOff>
    </xdr:from>
    <xdr:to>
      <xdr:col>17</xdr:col>
      <xdr:colOff>28397</xdr:colOff>
      <xdr:row>16</xdr:row>
      <xdr:rowOff>150033</xdr:rowOff>
    </xdr:to>
    <xdr:cxnSp macro="">
      <xdr:nvCxnSpPr>
        <xdr:cNvPr id="24" name="Přímá spojnice 23">
          <a:extLst>
            <a:ext uri="{FF2B5EF4-FFF2-40B4-BE49-F238E27FC236}">
              <a16:creationId xmlns:a16="http://schemas.microsoft.com/office/drawing/2014/main" id="{5FF07924-6A90-4CDA-9853-92C81A0D8806}"/>
            </a:ext>
          </a:extLst>
        </xdr:cNvPr>
        <xdr:cNvCxnSpPr/>
      </xdr:nvCxnSpPr>
      <xdr:spPr>
        <a:xfrm>
          <a:off x="9358886" y="3178983"/>
          <a:ext cx="956511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205014</xdr:colOff>
      <xdr:row>28</xdr:row>
      <xdr:rowOff>147012</xdr:rowOff>
    </xdr:from>
    <xdr:to>
      <xdr:col>14</xdr:col>
      <xdr:colOff>205014</xdr:colOff>
      <xdr:row>50</xdr:row>
      <xdr:rowOff>51699</xdr:rowOff>
    </xdr:to>
    <xdr:cxnSp macro="">
      <xdr:nvCxnSpPr>
        <xdr:cNvPr id="25" name="Přímá spojnice 24">
          <a:extLst>
            <a:ext uri="{FF2B5EF4-FFF2-40B4-BE49-F238E27FC236}">
              <a16:creationId xmlns:a16="http://schemas.microsoft.com/office/drawing/2014/main" id="{C27CB808-95C4-4E49-BE65-D22067C3268C}"/>
            </a:ext>
          </a:extLst>
        </xdr:cNvPr>
        <xdr:cNvCxnSpPr/>
      </xdr:nvCxnSpPr>
      <xdr:spPr>
        <a:xfrm>
          <a:off x="8701314" y="5404812"/>
          <a:ext cx="0" cy="4171887"/>
        </a:xfrm>
        <a:prstGeom prst="line">
          <a:avLst/>
        </a:prstGeom>
        <a:ln>
          <a:prstDash val="dash"/>
          <a:headEnd type="non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287310</xdr:colOff>
      <xdr:row>47</xdr:row>
      <xdr:rowOff>150757</xdr:rowOff>
    </xdr:from>
    <xdr:to>
      <xdr:col>14</xdr:col>
      <xdr:colOff>198410</xdr:colOff>
      <xdr:row>47</xdr:row>
      <xdr:rowOff>150758</xdr:rowOff>
    </xdr:to>
    <xdr:cxnSp macro="">
      <xdr:nvCxnSpPr>
        <xdr:cNvPr id="26" name="Přímá spojnice 25">
          <a:extLst>
            <a:ext uri="{FF2B5EF4-FFF2-40B4-BE49-F238E27FC236}">
              <a16:creationId xmlns:a16="http://schemas.microsoft.com/office/drawing/2014/main" id="{62A548DC-209B-41B2-8A50-070C19541D7D}"/>
            </a:ext>
          </a:extLst>
        </xdr:cNvPr>
        <xdr:cNvCxnSpPr/>
      </xdr:nvCxnSpPr>
      <xdr:spPr>
        <a:xfrm>
          <a:off x="8193060" y="9085207"/>
          <a:ext cx="501650" cy="1"/>
        </a:xfrm>
        <a:prstGeom prst="line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108494</xdr:colOff>
      <xdr:row>47</xdr:row>
      <xdr:rowOff>150757</xdr:rowOff>
    </xdr:from>
    <xdr:to>
      <xdr:col>15</xdr:col>
      <xdr:colOff>438694</xdr:colOff>
      <xdr:row>47</xdr:row>
      <xdr:rowOff>150757</xdr:rowOff>
    </xdr:to>
    <xdr:cxnSp macro="">
      <xdr:nvCxnSpPr>
        <xdr:cNvPr id="27" name="Přímá spojnice 26">
          <a:extLst>
            <a:ext uri="{FF2B5EF4-FFF2-40B4-BE49-F238E27FC236}">
              <a16:creationId xmlns:a16="http://schemas.microsoft.com/office/drawing/2014/main" id="{9AF9E479-7493-400A-AED8-B9BCF4F7A1F1}"/>
            </a:ext>
          </a:extLst>
        </xdr:cNvPr>
        <xdr:cNvCxnSpPr/>
      </xdr:nvCxnSpPr>
      <xdr:spPr>
        <a:xfrm>
          <a:off x="9214394" y="9085207"/>
          <a:ext cx="330200" cy="0"/>
        </a:xfrm>
        <a:prstGeom prst="line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585537</xdr:colOff>
      <xdr:row>21</xdr:row>
      <xdr:rowOff>189110</xdr:rowOff>
    </xdr:from>
    <xdr:to>
      <xdr:col>12</xdr:col>
      <xdr:colOff>172686</xdr:colOff>
      <xdr:row>21</xdr:row>
      <xdr:rowOff>189110</xdr:rowOff>
    </xdr:to>
    <xdr:cxnSp macro="">
      <xdr:nvCxnSpPr>
        <xdr:cNvPr id="28" name="Přímá spojnice 27">
          <a:extLst>
            <a:ext uri="{FF2B5EF4-FFF2-40B4-BE49-F238E27FC236}">
              <a16:creationId xmlns:a16="http://schemas.microsoft.com/office/drawing/2014/main" id="{9EA4754A-26CF-4A5B-A0C9-7E7B1854FA58}"/>
            </a:ext>
          </a:extLst>
        </xdr:cNvPr>
        <xdr:cNvCxnSpPr/>
      </xdr:nvCxnSpPr>
      <xdr:spPr>
        <a:xfrm>
          <a:off x="1785687" y="4122935"/>
          <a:ext cx="5683149" cy="0"/>
        </a:xfrm>
        <a:prstGeom prst="line">
          <a:avLst/>
        </a:pr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145473</xdr:colOff>
      <xdr:row>22</xdr:row>
      <xdr:rowOff>3463</xdr:rowOff>
    </xdr:from>
    <xdr:to>
      <xdr:col>14</xdr:col>
      <xdr:colOff>217714</xdr:colOff>
      <xdr:row>28</xdr:row>
      <xdr:rowOff>159712</xdr:rowOff>
    </xdr:to>
    <xdr:cxnSp macro="">
      <xdr:nvCxnSpPr>
        <xdr:cNvPr id="29" name="Přímá spojnice 28">
          <a:extLst>
            <a:ext uri="{FF2B5EF4-FFF2-40B4-BE49-F238E27FC236}">
              <a16:creationId xmlns:a16="http://schemas.microsoft.com/office/drawing/2014/main" id="{9B3D1131-15DA-4324-BD34-EF4CEAB746B7}"/>
            </a:ext>
          </a:extLst>
        </xdr:cNvPr>
        <xdr:cNvCxnSpPr/>
      </xdr:nvCxnSpPr>
      <xdr:spPr>
        <a:xfrm>
          <a:off x="7441623" y="4127788"/>
          <a:ext cx="1272391" cy="1289724"/>
        </a:xfrm>
        <a:prstGeom prst="line">
          <a:avLst/>
        </a:pr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593558</xdr:colOff>
      <xdr:row>18</xdr:row>
      <xdr:rowOff>163453</xdr:rowOff>
    </xdr:from>
    <xdr:to>
      <xdr:col>14</xdr:col>
      <xdr:colOff>252845</xdr:colOff>
      <xdr:row>18</xdr:row>
      <xdr:rowOff>163453</xdr:rowOff>
    </xdr:to>
    <xdr:cxnSp macro="">
      <xdr:nvCxnSpPr>
        <xdr:cNvPr id="30" name="Přímá spojnice 29">
          <a:extLst>
            <a:ext uri="{FF2B5EF4-FFF2-40B4-BE49-F238E27FC236}">
              <a16:creationId xmlns:a16="http://schemas.microsoft.com/office/drawing/2014/main" id="{87724696-1B6A-4A7E-B3C1-DC27354004A8}"/>
            </a:ext>
          </a:extLst>
        </xdr:cNvPr>
        <xdr:cNvCxnSpPr/>
      </xdr:nvCxnSpPr>
      <xdr:spPr>
        <a:xfrm>
          <a:off x="1793708" y="3554353"/>
          <a:ext cx="6955437" cy="0"/>
        </a:xfrm>
        <a:prstGeom prst="line">
          <a:avLst/>
        </a:pr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164605</xdr:colOff>
      <xdr:row>18</xdr:row>
      <xdr:rowOff>180109</xdr:rowOff>
    </xdr:from>
    <xdr:to>
      <xdr:col>3</xdr:col>
      <xdr:colOff>164605</xdr:colOff>
      <xdr:row>22</xdr:row>
      <xdr:rowOff>17318</xdr:rowOff>
    </xdr:to>
    <xdr:cxnSp macro="">
      <xdr:nvCxnSpPr>
        <xdr:cNvPr id="31" name="Přímá spojnice 30">
          <a:extLst>
            <a:ext uri="{FF2B5EF4-FFF2-40B4-BE49-F238E27FC236}">
              <a16:creationId xmlns:a16="http://schemas.microsoft.com/office/drawing/2014/main" id="{42C2D247-4C63-4ABB-A3CB-9785CC216863}"/>
            </a:ext>
          </a:extLst>
        </xdr:cNvPr>
        <xdr:cNvCxnSpPr/>
      </xdr:nvCxnSpPr>
      <xdr:spPr>
        <a:xfrm>
          <a:off x="1974355" y="3571009"/>
          <a:ext cx="0" cy="570634"/>
        </a:xfrm>
        <a:prstGeom prst="line">
          <a:avLst/>
        </a:prstGeom>
        <a:ln>
          <a:prstDash val="dash"/>
          <a:headEnd type="non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18556</xdr:colOff>
      <xdr:row>18</xdr:row>
      <xdr:rowOff>169718</xdr:rowOff>
    </xdr:from>
    <xdr:to>
      <xdr:col>3</xdr:col>
      <xdr:colOff>18556</xdr:colOff>
      <xdr:row>22</xdr:row>
      <xdr:rowOff>0</xdr:rowOff>
    </xdr:to>
    <xdr:cxnSp macro="">
      <xdr:nvCxnSpPr>
        <xdr:cNvPr id="32" name="Přímá spojnice 31">
          <a:extLst>
            <a:ext uri="{FF2B5EF4-FFF2-40B4-BE49-F238E27FC236}">
              <a16:creationId xmlns:a16="http://schemas.microsoft.com/office/drawing/2014/main" id="{DADE80D0-D7DD-4E0A-BCA4-75459405F51F}"/>
            </a:ext>
          </a:extLst>
        </xdr:cNvPr>
        <xdr:cNvCxnSpPr/>
      </xdr:nvCxnSpPr>
      <xdr:spPr>
        <a:xfrm>
          <a:off x="1828306" y="3560618"/>
          <a:ext cx="0" cy="563707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337457</xdr:colOff>
      <xdr:row>28</xdr:row>
      <xdr:rowOff>165944</xdr:rowOff>
    </xdr:from>
    <xdr:to>
      <xdr:col>15</xdr:col>
      <xdr:colOff>61690</xdr:colOff>
      <xdr:row>28</xdr:row>
      <xdr:rowOff>165944</xdr:rowOff>
    </xdr:to>
    <xdr:cxnSp macro="">
      <xdr:nvCxnSpPr>
        <xdr:cNvPr id="33" name="Přímá spojnice 32">
          <a:extLst>
            <a:ext uri="{FF2B5EF4-FFF2-40B4-BE49-F238E27FC236}">
              <a16:creationId xmlns:a16="http://schemas.microsoft.com/office/drawing/2014/main" id="{51F64C09-11FE-4BD5-B50B-3102C61A00DE}"/>
            </a:ext>
          </a:extLst>
        </xdr:cNvPr>
        <xdr:cNvCxnSpPr/>
      </xdr:nvCxnSpPr>
      <xdr:spPr>
        <a:xfrm>
          <a:off x="7633607" y="5423744"/>
          <a:ext cx="1533983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141159</xdr:colOff>
      <xdr:row>21</xdr:row>
      <xdr:rowOff>183244</xdr:rowOff>
    </xdr:from>
    <xdr:to>
      <xdr:col>12</xdr:col>
      <xdr:colOff>141159</xdr:colOff>
      <xdr:row>27</xdr:row>
      <xdr:rowOff>65314</xdr:rowOff>
    </xdr:to>
    <xdr:cxnSp macro="">
      <xdr:nvCxnSpPr>
        <xdr:cNvPr id="34" name="Přímá spojnice 33">
          <a:extLst>
            <a:ext uri="{FF2B5EF4-FFF2-40B4-BE49-F238E27FC236}">
              <a16:creationId xmlns:a16="http://schemas.microsoft.com/office/drawing/2014/main" id="{6C57E4B5-1C00-4F63-A040-668AD545E6DA}"/>
            </a:ext>
          </a:extLst>
        </xdr:cNvPr>
        <xdr:cNvCxnSpPr/>
      </xdr:nvCxnSpPr>
      <xdr:spPr>
        <a:xfrm>
          <a:off x="7437309" y="4117069"/>
          <a:ext cx="0" cy="101554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196356</xdr:colOff>
      <xdr:row>20</xdr:row>
      <xdr:rowOff>58593</xdr:rowOff>
    </xdr:from>
    <xdr:to>
      <xdr:col>15</xdr:col>
      <xdr:colOff>196356</xdr:colOff>
      <xdr:row>23</xdr:row>
      <xdr:rowOff>66675</xdr:rowOff>
    </xdr:to>
    <xdr:cxnSp macro="">
      <xdr:nvCxnSpPr>
        <xdr:cNvPr id="35" name="Přímá spojnice 34">
          <a:extLst>
            <a:ext uri="{FF2B5EF4-FFF2-40B4-BE49-F238E27FC236}">
              <a16:creationId xmlns:a16="http://schemas.microsoft.com/office/drawing/2014/main" id="{B6A454C9-D5FB-418B-B361-3637489955D3}"/>
            </a:ext>
          </a:extLst>
        </xdr:cNvPr>
        <xdr:cNvCxnSpPr/>
      </xdr:nvCxnSpPr>
      <xdr:spPr>
        <a:xfrm>
          <a:off x="9302256" y="3811443"/>
          <a:ext cx="0" cy="560532"/>
        </a:xfrm>
        <a:prstGeom prst="line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55</xdr:row>
      <xdr:rowOff>0</xdr:rowOff>
    </xdr:from>
    <xdr:to>
      <xdr:col>6</xdr:col>
      <xdr:colOff>127000</xdr:colOff>
      <xdr:row>60</xdr:row>
      <xdr:rowOff>152925</xdr:rowOff>
    </xdr:to>
    <xdr:pic>
      <xdr:nvPicPr>
        <xdr:cNvPr id="36" name="Picture 286" descr="TOP_VIEW">
          <a:extLst>
            <a:ext uri="{FF2B5EF4-FFF2-40B4-BE49-F238E27FC236}">
              <a16:creationId xmlns:a16="http://schemas.microsoft.com/office/drawing/2014/main" id="{DA48E84F-12D5-4C65-A0F0-3B4EBA91C33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 r="5418"/>
        <a:stretch/>
      </xdr:blipFill>
      <xdr:spPr bwMode="auto">
        <a:xfrm>
          <a:off x="0" y="10487025"/>
          <a:ext cx="3765550" cy="111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330200</xdr:colOff>
      <xdr:row>54</xdr:row>
      <xdr:rowOff>172720</xdr:rowOff>
    </xdr:from>
    <xdr:to>
      <xdr:col>12</xdr:col>
      <xdr:colOff>86666</xdr:colOff>
      <xdr:row>60</xdr:row>
      <xdr:rowOff>144054</xdr:rowOff>
    </xdr:to>
    <xdr:pic>
      <xdr:nvPicPr>
        <xdr:cNvPr id="37" name="Picture 287" descr="TOP_VIEW">
          <a:extLst>
            <a:ext uri="{FF2B5EF4-FFF2-40B4-BE49-F238E27FC236}">
              <a16:creationId xmlns:a16="http://schemas.microsoft.com/office/drawing/2014/main" id="{25DC7833-3FDB-4095-803F-653441B7D3D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189"/>
        <a:stretch/>
      </xdr:blipFill>
      <xdr:spPr bwMode="auto">
        <a:xfrm>
          <a:off x="3968750" y="10469245"/>
          <a:ext cx="3414066" cy="1123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533400</xdr:colOff>
      <xdr:row>55</xdr:row>
      <xdr:rowOff>0</xdr:rowOff>
    </xdr:from>
    <xdr:to>
      <xdr:col>17</xdr:col>
      <xdr:colOff>0</xdr:colOff>
      <xdr:row>64</xdr:row>
      <xdr:rowOff>168628</xdr:rowOff>
    </xdr:to>
    <xdr:pic>
      <xdr:nvPicPr>
        <xdr:cNvPr id="38" name="Picture 360" descr="Image 21-1 Top View">
          <a:extLst>
            <a:ext uri="{FF2B5EF4-FFF2-40B4-BE49-F238E27FC236}">
              <a16:creationId xmlns:a16="http://schemas.microsoft.com/office/drawing/2014/main" id="{2C906887-0602-4021-8B99-0F36474A3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9550" y="10487025"/>
          <a:ext cx="2457450" cy="188312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13</xdr:col>
      <xdr:colOff>177800</xdr:colOff>
      <xdr:row>58</xdr:row>
      <xdr:rowOff>0</xdr:rowOff>
    </xdr:from>
    <xdr:to>
      <xdr:col>14</xdr:col>
      <xdr:colOff>203200</xdr:colOff>
      <xdr:row>58</xdr:row>
      <xdr:rowOff>0</xdr:rowOff>
    </xdr:to>
    <xdr:cxnSp macro="">
      <xdr:nvCxnSpPr>
        <xdr:cNvPr id="39" name="Přímá spojnice 38">
          <a:extLst>
            <a:ext uri="{FF2B5EF4-FFF2-40B4-BE49-F238E27FC236}">
              <a16:creationId xmlns:a16="http://schemas.microsoft.com/office/drawing/2014/main" id="{C720E418-77F9-417D-A26D-CD6CB657419F}"/>
            </a:ext>
          </a:extLst>
        </xdr:cNvPr>
        <xdr:cNvCxnSpPr/>
      </xdr:nvCxnSpPr>
      <xdr:spPr>
        <a:xfrm>
          <a:off x="8083550" y="11068050"/>
          <a:ext cx="61595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80667</xdr:colOff>
      <xdr:row>54</xdr:row>
      <xdr:rowOff>112644</xdr:rowOff>
    </xdr:from>
    <xdr:to>
      <xdr:col>1</xdr:col>
      <xdr:colOff>80667</xdr:colOff>
      <xdr:row>55</xdr:row>
      <xdr:rowOff>165652</xdr:rowOff>
    </xdr:to>
    <xdr:cxnSp macro="">
      <xdr:nvCxnSpPr>
        <xdr:cNvPr id="40" name="Přímá spojnice 39">
          <a:extLst>
            <a:ext uri="{FF2B5EF4-FFF2-40B4-BE49-F238E27FC236}">
              <a16:creationId xmlns:a16="http://schemas.microsoft.com/office/drawing/2014/main" id="{C703317B-8D3A-4002-B0D1-9982177D5060}"/>
            </a:ext>
          </a:extLst>
        </xdr:cNvPr>
        <xdr:cNvCxnSpPr/>
      </xdr:nvCxnSpPr>
      <xdr:spPr>
        <a:xfrm>
          <a:off x="671217" y="10409169"/>
          <a:ext cx="0" cy="243508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120547</xdr:colOff>
      <xdr:row>54</xdr:row>
      <xdr:rowOff>106018</xdr:rowOff>
    </xdr:from>
    <xdr:to>
      <xdr:col>0</xdr:col>
      <xdr:colOff>120547</xdr:colOff>
      <xdr:row>57</xdr:row>
      <xdr:rowOff>91764</xdr:rowOff>
    </xdr:to>
    <xdr:cxnSp macro="">
      <xdr:nvCxnSpPr>
        <xdr:cNvPr id="41" name="Přímá spojnice 40">
          <a:extLst>
            <a:ext uri="{FF2B5EF4-FFF2-40B4-BE49-F238E27FC236}">
              <a16:creationId xmlns:a16="http://schemas.microsoft.com/office/drawing/2014/main" id="{0351FF22-F9D7-44B5-A987-2F1CDD91945F}"/>
            </a:ext>
          </a:extLst>
        </xdr:cNvPr>
        <xdr:cNvCxnSpPr/>
      </xdr:nvCxnSpPr>
      <xdr:spPr>
        <a:xfrm>
          <a:off x="120547" y="10402543"/>
          <a:ext cx="0" cy="557246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119269</xdr:colOff>
      <xdr:row>55</xdr:row>
      <xdr:rowOff>9052</xdr:rowOff>
    </xdr:from>
    <xdr:to>
      <xdr:col>1</xdr:col>
      <xdr:colOff>79513</xdr:colOff>
      <xdr:row>55</xdr:row>
      <xdr:rowOff>9052</xdr:rowOff>
    </xdr:to>
    <xdr:cxnSp macro="">
      <xdr:nvCxnSpPr>
        <xdr:cNvPr id="42" name="Přímá spojnice 41">
          <a:extLst>
            <a:ext uri="{FF2B5EF4-FFF2-40B4-BE49-F238E27FC236}">
              <a16:creationId xmlns:a16="http://schemas.microsoft.com/office/drawing/2014/main" id="{0E442466-D0B6-41A3-AEC7-4685B9945FEA}"/>
            </a:ext>
          </a:extLst>
        </xdr:cNvPr>
        <xdr:cNvCxnSpPr/>
      </xdr:nvCxnSpPr>
      <xdr:spPr>
        <a:xfrm>
          <a:off x="119269" y="10496077"/>
          <a:ext cx="550794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557661</xdr:colOff>
      <xdr:row>54</xdr:row>
      <xdr:rowOff>112646</xdr:rowOff>
    </xdr:from>
    <xdr:to>
      <xdr:col>11</xdr:col>
      <xdr:colOff>557661</xdr:colOff>
      <xdr:row>57</xdr:row>
      <xdr:rowOff>86140</xdr:rowOff>
    </xdr:to>
    <xdr:cxnSp macro="">
      <xdr:nvCxnSpPr>
        <xdr:cNvPr id="43" name="Přímá spojnice 42">
          <a:extLst>
            <a:ext uri="{FF2B5EF4-FFF2-40B4-BE49-F238E27FC236}">
              <a16:creationId xmlns:a16="http://schemas.microsoft.com/office/drawing/2014/main" id="{12CE0177-9E38-4662-84F5-2AD541EBE1CB}"/>
            </a:ext>
          </a:extLst>
        </xdr:cNvPr>
        <xdr:cNvCxnSpPr/>
      </xdr:nvCxnSpPr>
      <xdr:spPr>
        <a:xfrm>
          <a:off x="7244211" y="10409171"/>
          <a:ext cx="0" cy="544994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597541</xdr:colOff>
      <xdr:row>54</xdr:row>
      <xdr:rowOff>106020</xdr:rowOff>
    </xdr:from>
    <xdr:to>
      <xdr:col>10</xdr:col>
      <xdr:colOff>597541</xdr:colOff>
      <xdr:row>55</xdr:row>
      <xdr:rowOff>152400</xdr:rowOff>
    </xdr:to>
    <xdr:cxnSp macro="">
      <xdr:nvCxnSpPr>
        <xdr:cNvPr id="44" name="Přímá spojnice 43">
          <a:extLst>
            <a:ext uri="{FF2B5EF4-FFF2-40B4-BE49-F238E27FC236}">
              <a16:creationId xmlns:a16="http://schemas.microsoft.com/office/drawing/2014/main" id="{1654FF55-7553-41EF-A103-C6B49C29B09F}"/>
            </a:ext>
          </a:extLst>
        </xdr:cNvPr>
        <xdr:cNvCxnSpPr/>
      </xdr:nvCxnSpPr>
      <xdr:spPr>
        <a:xfrm>
          <a:off x="6674491" y="10402545"/>
          <a:ext cx="0" cy="23688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596263</xdr:colOff>
      <xdr:row>55</xdr:row>
      <xdr:rowOff>9054</xdr:rowOff>
    </xdr:from>
    <xdr:to>
      <xdr:col>11</xdr:col>
      <xdr:colOff>556507</xdr:colOff>
      <xdr:row>55</xdr:row>
      <xdr:rowOff>9054</xdr:rowOff>
    </xdr:to>
    <xdr:cxnSp macro="">
      <xdr:nvCxnSpPr>
        <xdr:cNvPr id="45" name="Přímá spojnice 44">
          <a:extLst>
            <a:ext uri="{FF2B5EF4-FFF2-40B4-BE49-F238E27FC236}">
              <a16:creationId xmlns:a16="http://schemas.microsoft.com/office/drawing/2014/main" id="{2F5EA91F-B5AD-40A9-B6A2-043533959516}"/>
            </a:ext>
          </a:extLst>
        </xdr:cNvPr>
        <xdr:cNvCxnSpPr/>
      </xdr:nvCxnSpPr>
      <xdr:spPr>
        <a:xfrm>
          <a:off x="6673213" y="10496079"/>
          <a:ext cx="569844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393709</xdr:colOff>
      <xdr:row>28</xdr:row>
      <xdr:rowOff>167969</xdr:rowOff>
    </xdr:from>
    <xdr:to>
      <xdr:col>12</xdr:col>
      <xdr:colOff>393709</xdr:colOff>
      <xdr:row>50</xdr:row>
      <xdr:rowOff>76200</xdr:rowOff>
    </xdr:to>
    <xdr:cxnSp macro="">
      <xdr:nvCxnSpPr>
        <xdr:cNvPr id="46" name="Přímá spojnice 45">
          <a:extLst>
            <a:ext uri="{FF2B5EF4-FFF2-40B4-BE49-F238E27FC236}">
              <a16:creationId xmlns:a16="http://schemas.microsoft.com/office/drawing/2014/main" id="{832DE83A-E8BA-44BD-9E7E-FBBFE20CE876}"/>
            </a:ext>
          </a:extLst>
        </xdr:cNvPr>
        <xdr:cNvCxnSpPr/>
      </xdr:nvCxnSpPr>
      <xdr:spPr>
        <a:xfrm>
          <a:off x="7689859" y="5425769"/>
          <a:ext cx="0" cy="4175431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148046</xdr:colOff>
      <xdr:row>27</xdr:row>
      <xdr:rowOff>4825</xdr:rowOff>
    </xdr:from>
    <xdr:to>
      <xdr:col>15</xdr:col>
      <xdr:colOff>61690</xdr:colOff>
      <xdr:row>27</xdr:row>
      <xdr:rowOff>4826</xdr:rowOff>
    </xdr:to>
    <xdr:cxnSp macro="">
      <xdr:nvCxnSpPr>
        <xdr:cNvPr id="47" name="Přímá spojnice 46">
          <a:extLst>
            <a:ext uri="{FF2B5EF4-FFF2-40B4-BE49-F238E27FC236}">
              <a16:creationId xmlns:a16="http://schemas.microsoft.com/office/drawing/2014/main" id="{DB22FED3-076C-4168-807F-C41742DD3F69}"/>
            </a:ext>
          </a:extLst>
        </xdr:cNvPr>
        <xdr:cNvCxnSpPr/>
      </xdr:nvCxnSpPr>
      <xdr:spPr>
        <a:xfrm>
          <a:off x="7444196" y="5072125"/>
          <a:ext cx="1723394" cy="1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84397</xdr:colOff>
      <xdr:row>55</xdr:row>
      <xdr:rowOff>10755</xdr:rowOff>
    </xdr:from>
    <xdr:to>
      <xdr:col>10</xdr:col>
      <xdr:colOff>596537</xdr:colOff>
      <xdr:row>55</xdr:row>
      <xdr:rowOff>10755</xdr:rowOff>
    </xdr:to>
    <xdr:cxnSp macro="">
      <xdr:nvCxnSpPr>
        <xdr:cNvPr id="48" name="Přímá spojnice 47">
          <a:extLst>
            <a:ext uri="{FF2B5EF4-FFF2-40B4-BE49-F238E27FC236}">
              <a16:creationId xmlns:a16="http://schemas.microsoft.com/office/drawing/2014/main" id="{833A59E6-4E33-437D-9091-4454F3D02AF1}"/>
            </a:ext>
          </a:extLst>
        </xdr:cNvPr>
        <xdr:cNvCxnSpPr/>
      </xdr:nvCxnSpPr>
      <xdr:spPr>
        <a:xfrm>
          <a:off x="674947" y="10497780"/>
          <a:ext cx="5998540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276225</xdr:colOff>
      <xdr:row>18</xdr:row>
      <xdr:rowOff>0</xdr:rowOff>
    </xdr:from>
    <xdr:to>
      <xdr:col>14</xdr:col>
      <xdr:colOff>276225</xdr:colOff>
      <xdr:row>18</xdr:row>
      <xdr:rowOff>170584</xdr:rowOff>
    </xdr:to>
    <xdr:cxnSp macro="">
      <xdr:nvCxnSpPr>
        <xdr:cNvPr id="49" name="Přímá spojnice 48">
          <a:extLst>
            <a:ext uri="{FF2B5EF4-FFF2-40B4-BE49-F238E27FC236}">
              <a16:creationId xmlns:a16="http://schemas.microsoft.com/office/drawing/2014/main" id="{1C772F34-1714-4ECB-87E4-07A3C447AB53}"/>
            </a:ext>
          </a:extLst>
        </xdr:cNvPr>
        <xdr:cNvCxnSpPr/>
      </xdr:nvCxnSpPr>
      <xdr:spPr>
        <a:xfrm>
          <a:off x="8772525" y="3390900"/>
          <a:ext cx="0" cy="170584"/>
        </a:xfrm>
        <a:prstGeom prst="line">
          <a:avLst/>
        </a:prstGeom>
        <a:ln>
          <a:prstDash val="dash"/>
          <a:headEnd type="non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386415</xdr:colOff>
      <xdr:row>14</xdr:row>
      <xdr:rowOff>125134</xdr:rowOff>
    </xdr:from>
    <xdr:to>
      <xdr:col>11</xdr:col>
      <xdr:colOff>386415</xdr:colOff>
      <xdr:row>16</xdr:row>
      <xdr:rowOff>131869</xdr:rowOff>
    </xdr:to>
    <xdr:cxnSp macro="">
      <xdr:nvCxnSpPr>
        <xdr:cNvPr id="50" name="Přímá spojnice 49">
          <a:extLst>
            <a:ext uri="{FF2B5EF4-FFF2-40B4-BE49-F238E27FC236}">
              <a16:creationId xmlns:a16="http://schemas.microsoft.com/office/drawing/2014/main" id="{0FAFF014-E60A-44E6-B45F-BEA94904688C}"/>
            </a:ext>
          </a:extLst>
        </xdr:cNvPr>
        <xdr:cNvCxnSpPr/>
      </xdr:nvCxnSpPr>
      <xdr:spPr>
        <a:xfrm>
          <a:off x="7072965" y="2792134"/>
          <a:ext cx="0" cy="36868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388189</xdr:colOff>
      <xdr:row>15</xdr:row>
      <xdr:rowOff>67762</xdr:rowOff>
    </xdr:from>
    <xdr:to>
      <xdr:col>15</xdr:col>
      <xdr:colOff>83856</xdr:colOff>
      <xdr:row>15</xdr:row>
      <xdr:rowOff>67762</xdr:rowOff>
    </xdr:to>
    <xdr:cxnSp macro="">
      <xdr:nvCxnSpPr>
        <xdr:cNvPr id="51" name="Přímá spojnice 50">
          <a:extLst>
            <a:ext uri="{FF2B5EF4-FFF2-40B4-BE49-F238E27FC236}">
              <a16:creationId xmlns:a16="http://schemas.microsoft.com/office/drawing/2014/main" id="{1F86A268-B75B-4063-8AD1-FE787AF75D29}"/>
            </a:ext>
          </a:extLst>
        </xdr:cNvPr>
        <xdr:cNvCxnSpPr/>
      </xdr:nvCxnSpPr>
      <xdr:spPr>
        <a:xfrm>
          <a:off x="7074739" y="2915737"/>
          <a:ext cx="2115017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609073</xdr:colOff>
      <xdr:row>13</xdr:row>
      <xdr:rowOff>116341</xdr:rowOff>
    </xdr:from>
    <xdr:to>
      <xdr:col>10</xdr:col>
      <xdr:colOff>609073</xdr:colOff>
      <xdr:row>17</xdr:row>
      <xdr:rowOff>104040</xdr:rowOff>
    </xdr:to>
    <xdr:cxnSp macro="">
      <xdr:nvCxnSpPr>
        <xdr:cNvPr id="52" name="Přímá spojnice 51">
          <a:extLst>
            <a:ext uri="{FF2B5EF4-FFF2-40B4-BE49-F238E27FC236}">
              <a16:creationId xmlns:a16="http://schemas.microsoft.com/office/drawing/2014/main" id="{44548360-0BC0-4132-A659-F13D13AFEE19}"/>
            </a:ext>
          </a:extLst>
        </xdr:cNvPr>
        <xdr:cNvCxnSpPr/>
      </xdr:nvCxnSpPr>
      <xdr:spPr>
        <a:xfrm>
          <a:off x="6686023" y="2602366"/>
          <a:ext cx="0" cy="711599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1223</xdr:colOff>
      <xdr:row>14</xdr:row>
      <xdr:rowOff>68144</xdr:rowOff>
    </xdr:from>
    <xdr:to>
      <xdr:col>15</xdr:col>
      <xdr:colOff>85051</xdr:colOff>
      <xdr:row>14</xdr:row>
      <xdr:rowOff>68145</xdr:rowOff>
    </xdr:to>
    <xdr:cxnSp macro="">
      <xdr:nvCxnSpPr>
        <xdr:cNvPr id="53" name="Přímá spojnice 52">
          <a:extLst>
            <a:ext uri="{FF2B5EF4-FFF2-40B4-BE49-F238E27FC236}">
              <a16:creationId xmlns:a16="http://schemas.microsoft.com/office/drawing/2014/main" id="{AEB9E127-0A9F-4523-86B2-0B194C5A9801}"/>
            </a:ext>
          </a:extLst>
        </xdr:cNvPr>
        <xdr:cNvCxnSpPr/>
      </xdr:nvCxnSpPr>
      <xdr:spPr>
        <a:xfrm>
          <a:off x="6687773" y="2735144"/>
          <a:ext cx="2503178" cy="1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188495</xdr:colOff>
      <xdr:row>15</xdr:row>
      <xdr:rowOff>77483</xdr:rowOff>
    </xdr:from>
    <xdr:to>
      <xdr:col>5</xdr:col>
      <xdr:colOff>54303</xdr:colOff>
      <xdr:row>15</xdr:row>
      <xdr:rowOff>77483</xdr:rowOff>
    </xdr:to>
    <xdr:cxnSp macro="">
      <xdr:nvCxnSpPr>
        <xdr:cNvPr id="54" name="Přímá spojnice 53">
          <a:extLst>
            <a:ext uri="{FF2B5EF4-FFF2-40B4-BE49-F238E27FC236}">
              <a16:creationId xmlns:a16="http://schemas.microsoft.com/office/drawing/2014/main" id="{A0828F49-8564-4BF6-AACC-AAD36FF820B7}"/>
            </a:ext>
          </a:extLst>
        </xdr:cNvPr>
        <xdr:cNvCxnSpPr/>
      </xdr:nvCxnSpPr>
      <xdr:spPr>
        <a:xfrm>
          <a:off x="1998245" y="2925458"/>
          <a:ext cx="1085008" cy="0"/>
        </a:xfrm>
        <a:prstGeom prst="line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54760</xdr:colOff>
      <xdr:row>14</xdr:row>
      <xdr:rowOff>142860</xdr:rowOff>
    </xdr:from>
    <xdr:to>
      <xdr:col>5</xdr:col>
      <xdr:colOff>54760</xdr:colOff>
      <xdr:row>16</xdr:row>
      <xdr:rowOff>141318</xdr:rowOff>
    </xdr:to>
    <xdr:cxnSp macro="">
      <xdr:nvCxnSpPr>
        <xdr:cNvPr id="55" name="Přímá spojnice 54">
          <a:extLst>
            <a:ext uri="{FF2B5EF4-FFF2-40B4-BE49-F238E27FC236}">
              <a16:creationId xmlns:a16="http://schemas.microsoft.com/office/drawing/2014/main" id="{85D5AF5F-64DF-44BA-949B-E3F14291EA26}"/>
            </a:ext>
          </a:extLst>
        </xdr:cNvPr>
        <xdr:cNvCxnSpPr/>
      </xdr:nvCxnSpPr>
      <xdr:spPr>
        <a:xfrm>
          <a:off x="3083710" y="2809860"/>
          <a:ext cx="0" cy="360408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door-documents.com/en/guardy-installation-drawing-lhf-c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4BF4F-A90F-45C7-A933-419B532F9A08}">
  <sheetPr codeName="List4">
    <tabColor theme="9" tint="-0.249977111117893"/>
  </sheetPr>
  <dimension ref="A1:AC67"/>
  <sheetViews>
    <sheetView showGridLines="0" tabSelected="1" view="pageBreakPreview" zoomScale="50" zoomScaleNormal="50" zoomScaleSheetLayoutView="50" workbookViewId="0">
      <selection activeCell="D4" sqref="D4:D5"/>
    </sheetView>
  </sheetViews>
  <sheetFormatPr baseColWidth="10" defaultColWidth="9.140625" defaultRowHeight="15" x14ac:dyDescent="0.25"/>
  <cols>
    <col min="1" max="1" width="8.85546875" customWidth="1"/>
    <col min="14" max="14" width="8.85546875" customWidth="1"/>
    <col min="16" max="23" width="8.85546875" customWidth="1"/>
    <col min="26" max="27" width="8.85546875" customWidth="1"/>
  </cols>
  <sheetData>
    <row r="1" spans="1:27" ht="19.5" thickBot="1" x14ac:dyDescent="0.35">
      <c r="G1" s="1"/>
      <c r="H1" s="1"/>
      <c r="I1" s="1"/>
      <c r="J1" s="1"/>
      <c r="K1" s="1"/>
    </row>
    <row r="2" spans="1:27" x14ac:dyDescent="0.25">
      <c r="A2" s="2" t="s">
        <v>0</v>
      </c>
      <c r="B2" s="3"/>
      <c r="C2" s="3"/>
      <c r="D2" s="4"/>
      <c r="I2" s="5" t="str">
        <f>Translation!C37</f>
        <v>Lichte Breite (W) [mm]</v>
      </c>
      <c r="J2" s="134"/>
      <c r="R2" s="5" t="str">
        <f>Translation!C13</f>
        <v>Führungstiefe (D) [mm]</v>
      </c>
      <c r="S2" s="131" t="str">
        <f>IF(J4="","",VLOOKUP(J4,Selections!E5:F11,2,TRUE))</f>
        <v/>
      </c>
      <c r="Y2" s="5" t="str">
        <f>Translation!C43</f>
        <v>Der Typ des Antriebs</v>
      </c>
      <c r="Z2" s="136"/>
    </row>
    <row r="3" spans="1:27" ht="14.45" customHeight="1" thickBot="1" x14ac:dyDescent="0.3">
      <c r="A3" s="6" t="s">
        <v>1</v>
      </c>
      <c r="D3" s="7"/>
      <c r="J3" s="135"/>
      <c r="K3" s="138" t="str">
        <f>IF(J2/1000*J4/1000&lt;14,"","W x H max. 14m2")</f>
        <v/>
      </c>
      <c r="L3" s="139"/>
      <c r="S3" s="132"/>
      <c r="Z3" s="137"/>
    </row>
    <row r="4" spans="1:27" ht="14.45" customHeight="1" x14ac:dyDescent="0.25">
      <c r="A4" s="6" t="s">
        <v>2</v>
      </c>
      <c r="D4" s="134" t="s">
        <v>45</v>
      </c>
      <c r="I4" s="5" t="str">
        <f>Translation!C27</f>
        <v>Höhe der Bauöffnung (H) [mm]</v>
      </c>
      <c r="J4" s="134"/>
      <c r="K4" s="138"/>
      <c r="L4" s="139"/>
      <c r="R4" s="5" t="str">
        <f>Translation!C17</f>
        <v>Untere Kante der Horizontalführung (K) [mm]</v>
      </c>
      <c r="S4" s="131" t="str">
        <f>IF(J4="","",J4-47)</f>
        <v/>
      </c>
      <c r="Y4" s="5" t="str">
        <f>Translation!C15</f>
        <v>Antriebslänge (X) [mm]</v>
      </c>
      <c r="Z4" s="131" t="str">
        <f>IF(Z2="","",IF(Z2=Selections!K5,VLOOKUP(J4,Selections!K6:L7,2,TRUE),IF(Z2=Selections!K9,VLOOKUP(J4,Selections!K10:L11,2,TRUE),IF(Z2=Selections!K13,VLOOKUP(J4,Selections!K14:L15,2,TRUE),"Error"))))</f>
        <v/>
      </c>
    </row>
    <row r="5" spans="1:27" ht="15" customHeight="1" thickBot="1" x14ac:dyDescent="0.3">
      <c r="A5" s="6" t="s">
        <v>4</v>
      </c>
      <c r="D5" s="135"/>
      <c r="J5" s="140"/>
      <c r="S5" s="132"/>
      <c r="Z5" s="132"/>
    </row>
    <row r="6" spans="1:27" ht="14.45" customHeight="1" x14ac:dyDescent="0.25">
      <c r="A6" s="6" t="s">
        <v>5</v>
      </c>
      <c r="D6" s="7"/>
      <c r="I6" s="5" t="str">
        <f>Translation!C38</f>
        <v>Bedienung</v>
      </c>
      <c r="J6" s="127"/>
      <c r="K6" s="128"/>
      <c r="R6" s="5" t="str">
        <f>Translation!C11</f>
        <v>Untere Kante des vollständig geöffneten Tors (CPH) [mm]</v>
      </c>
      <c r="S6" s="131" t="str">
        <f>IF(J6="","",IF(J6=Selections!C5,'LHF-C'!J4-175,IF(J6=Selections!C6,'LHF-C'!J4-0,"Error")))</f>
        <v/>
      </c>
      <c r="Y6" s="5" t="str">
        <f>Translation!C19</f>
        <v>Verankerungspunkt der Antriebsleiste (E1) [mm]</v>
      </c>
      <c r="Z6" s="131" t="str">
        <f>IF(Z2="","",IF(Z2=Selections!Q5,VLOOKUP(J4,Selections!Q6:R7,2,TRUE),IF(Z2=Selections!Q9,VLOOKUP(J4,Selections!Q10:R11,2,TRUE),IF(Z2=Selections!Q13,VLOOKUP(J4,Selections!Q14:R15,2,TRUE),"Error"))))</f>
        <v/>
      </c>
    </row>
    <row r="7" spans="1:27" ht="15" customHeight="1" thickBot="1" x14ac:dyDescent="0.3">
      <c r="A7" s="8" t="s">
        <v>6</v>
      </c>
      <c r="B7" s="9"/>
      <c r="C7" s="9"/>
      <c r="D7" s="10"/>
      <c r="J7" s="129"/>
      <c r="K7" s="130"/>
      <c r="S7" s="132"/>
      <c r="Z7" s="132"/>
    </row>
    <row r="8" spans="1:27" ht="14.45" customHeight="1" x14ac:dyDescent="0.25">
      <c r="R8" s="5" t="str">
        <f>Translation!C42</f>
        <v>Freiraum über Sturz (F) [mm]</v>
      </c>
      <c r="S8" s="131">
        <v>200</v>
      </c>
      <c r="Y8" s="5" t="str">
        <f>Translation!C21</f>
        <v>Verankerungspunkt des Antriebes (E2) [mm]</v>
      </c>
      <c r="Z8" s="131" t="str">
        <f>IF(Z2="","",IF(Z2=Selections!N5,VLOOKUP(J4,Selections!N6:O7,2,TRUE),IF(Z2=Selections!N9,VLOOKUP(J4,Selections!N10:O11,2,TRUE),IF(Z2=Selections!N13,VLOOKUP(J4,Selections!N14:O15,2,TRUE),"Error"))))</f>
        <v/>
      </c>
    </row>
    <row r="9" spans="1:27" ht="14.45" customHeight="1" thickBot="1" x14ac:dyDescent="0.3">
      <c r="S9" s="132"/>
      <c r="Z9" s="132"/>
    </row>
    <row r="10" spans="1:27" ht="15" customHeight="1" x14ac:dyDescent="0.25"/>
    <row r="11" spans="1:27" x14ac:dyDescent="0.25">
      <c r="A11" s="133" t="s">
        <v>7</v>
      </c>
      <c r="B11" s="133"/>
      <c r="F11" s="11" t="str">
        <f>IF(OR(J4="",Z2=""),"X","X = "&amp;Z4)</f>
        <v>X</v>
      </c>
    </row>
    <row r="12" spans="1:27" x14ac:dyDescent="0.25">
      <c r="G12" s="125" t="str">
        <f>IF(OR(J4="",Z2=""),"E2","E2 = "&amp;Z8)</f>
        <v>E2</v>
      </c>
    </row>
    <row r="13" spans="1:27" x14ac:dyDescent="0.25">
      <c r="A13" s="11"/>
      <c r="G13" s="125"/>
      <c r="I13" s="125" t="str">
        <f>IF(J4="","D","D = "&amp;S2)</f>
        <v>D</v>
      </c>
    </row>
    <row r="14" spans="1:27" ht="14.45" customHeight="1" x14ac:dyDescent="0.25">
      <c r="I14" s="125"/>
      <c r="M14" s="125" t="str">
        <f>IF(OR(J4="",Z2=""),"E1","E1 = "&amp;Z6)</f>
        <v>E1</v>
      </c>
    </row>
    <row r="15" spans="1:27" ht="14.45" customHeight="1" x14ac:dyDescent="0.25">
      <c r="D15" s="125" t="s">
        <v>8</v>
      </c>
      <c r="E15" s="125"/>
      <c r="M15" s="125"/>
      <c r="N15" s="125" t="str">
        <f>IF(OR(J2&gt;3000,J4&gt;2500),"Y2 = 800","Y2")</f>
        <v>Y2</v>
      </c>
    </row>
    <row r="16" spans="1:27" ht="14.45" customHeight="1" x14ac:dyDescent="0.25">
      <c r="D16" s="125"/>
      <c r="E16" s="125"/>
      <c r="M16" s="11"/>
      <c r="N16" s="125"/>
      <c r="W16" s="12"/>
      <c r="X16" s="12"/>
      <c r="Y16" s="12"/>
      <c r="Z16" s="12"/>
      <c r="AA16" s="12"/>
    </row>
    <row r="17" spans="3:27" ht="14.45" customHeight="1" x14ac:dyDescent="0.25">
      <c r="W17" s="12"/>
      <c r="X17" s="12"/>
      <c r="Y17" s="12"/>
      <c r="Z17" s="12"/>
      <c r="AA17" s="12"/>
    </row>
    <row r="18" spans="3:27" ht="14.45" customHeight="1" x14ac:dyDescent="0.25">
      <c r="W18" s="12"/>
      <c r="X18" s="12"/>
      <c r="Y18" s="12"/>
      <c r="Z18" s="12"/>
      <c r="AA18" s="12"/>
    </row>
    <row r="19" spans="3:27" ht="14.45" customHeight="1" x14ac:dyDescent="0.25">
      <c r="T19" s="5" t="s">
        <v>9</v>
      </c>
      <c r="U19" t="str">
        <f>Translation!C36</f>
        <v>Lichte Breite [mm]</v>
      </c>
      <c r="W19" s="12"/>
      <c r="X19" s="12"/>
      <c r="Y19" s="12"/>
      <c r="Z19" s="12"/>
      <c r="AA19" s="12"/>
    </row>
    <row r="20" spans="3:27" ht="14.45" customHeight="1" x14ac:dyDescent="0.25">
      <c r="T20" s="5" t="s">
        <v>10</v>
      </c>
      <c r="U20" t="str">
        <f>Translation!C26</f>
        <v>Höhe der Bauöffnung [mm]</v>
      </c>
      <c r="W20" s="12"/>
      <c r="X20" s="12"/>
      <c r="Y20" s="12"/>
      <c r="Z20" s="12"/>
      <c r="AA20" s="12"/>
    </row>
    <row r="21" spans="3:27" ht="14.45" customHeight="1" x14ac:dyDescent="0.25">
      <c r="C21" s="126">
        <v>212</v>
      </c>
      <c r="T21" s="5" t="s">
        <v>11</v>
      </c>
      <c r="U21" t="str">
        <f>Translation!C12</f>
        <v>Führungstiefe [mm]</v>
      </c>
      <c r="W21" s="12"/>
      <c r="X21" s="12"/>
      <c r="Y21" s="12"/>
      <c r="Z21" s="12"/>
      <c r="AA21" s="12"/>
    </row>
    <row r="22" spans="3:27" ht="15" customHeight="1" x14ac:dyDescent="0.25">
      <c r="C22" s="126"/>
      <c r="T22" s="5" t="s">
        <v>12</v>
      </c>
      <c r="U22" t="str">
        <f>Translation!C16</f>
        <v>Untere Kante der Horizontalführung [mm]</v>
      </c>
    </row>
    <row r="23" spans="3:27" ht="14.45" customHeight="1" x14ac:dyDescent="0.25">
      <c r="C23" s="13"/>
      <c r="P23" s="14" t="s">
        <v>10</v>
      </c>
      <c r="T23" s="5" t="s">
        <v>13</v>
      </c>
      <c r="U23" t="str">
        <f>Translation!C41</f>
        <v>Freiraum über Sturz [mm]</v>
      </c>
    </row>
    <row r="24" spans="3:27" ht="15" customHeight="1" x14ac:dyDescent="0.25">
      <c r="C24" s="15" t="str">
        <f>Translation!C34</f>
        <v>Steckdose CEE 7/3 oder CEE 7/5</v>
      </c>
      <c r="T24" s="5" t="s">
        <v>14</v>
      </c>
      <c r="U24" t="str">
        <f>Translation!C8</f>
        <v>Deckenhöhe [mm]</v>
      </c>
    </row>
    <row r="25" spans="3:27" x14ac:dyDescent="0.25">
      <c r="C25" s="15" t="str">
        <f>Translation!C35</f>
        <v>230V, 50Hz, Sicherung 6 A (10 A) mit Schutzschalter</v>
      </c>
      <c r="T25" s="5" t="s">
        <v>15</v>
      </c>
      <c r="U25" t="str">
        <f>Translation!C10</f>
        <v>Untere Kante des vollständig geöffneten Tors [mm]</v>
      </c>
    </row>
    <row r="26" spans="3:27" x14ac:dyDescent="0.25">
      <c r="T26" s="5" t="s">
        <v>16</v>
      </c>
      <c r="U26" t="str">
        <f>Translation!C22</f>
        <v>Verankerungspunkt</v>
      </c>
    </row>
    <row r="27" spans="3:27" x14ac:dyDescent="0.25">
      <c r="M27">
        <v>500</v>
      </c>
      <c r="T27" s="5" t="s">
        <v>17</v>
      </c>
      <c r="U27" t="str">
        <f>Translation!C23</f>
        <v>Verankerungspunkt (W&gt;3000 oder H&gt;2500)</v>
      </c>
    </row>
    <row r="28" spans="3:27" x14ac:dyDescent="0.25">
      <c r="T28" s="5" t="s">
        <v>18</v>
      </c>
      <c r="U28" t="str">
        <f>Translation!C14</f>
        <v>Antriebslänge [mm]</v>
      </c>
    </row>
    <row r="29" spans="3:27" x14ac:dyDescent="0.25">
      <c r="N29" s="13"/>
      <c r="T29" s="5" t="s">
        <v>19</v>
      </c>
      <c r="U29" t="str">
        <f>Translation!C18</f>
        <v>Verankerungspunkt der Antriebsleiste [mm]</v>
      </c>
    </row>
    <row r="30" spans="3:27" x14ac:dyDescent="0.25">
      <c r="T30" s="5" t="s">
        <v>20</v>
      </c>
      <c r="U30" t="str">
        <f>Translation!C20</f>
        <v>Verankerungspunkt des Antriebes [mm]</v>
      </c>
    </row>
    <row r="31" spans="3:27" x14ac:dyDescent="0.25">
      <c r="Q31" s="116" t="str">
        <f>IF(J4="","min. CEL = H + 200","CEL = "&amp;J4+S8)</f>
        <v>min. CEL = H + 200</v>
      </c>
      <c r="T31" s="5" t="s">
        <v>21</v>
      </c>
      <c r="U31" t="str">
        <f>Translation!C33</f>
        <v>Die Position der Steckdose ca.250 mm</v>
      </c>
    </row>
    <row r="32" spans="3:27" ht="14.45" customHeight="1" x14ac:dyDescent="0.25">
      <c r="Q32" s="116"/>
      <c r="T32" s="5" t="s">
        <v>22</v>
      </c>
      <c r="U32" s="117" t="str">
        <f>Translation!C50</f>
        <v>Durchfahrtshöhe kann bei der Montage der Zubehörteile an die Innenseite des Torflügels reduziert werden (betrifft Handgriff, Versteifungen, etc.)</v>
      </c>
      <c r="V32" s="117"/>
      <c r="W32" s="117"/>
      <c r="X32" s="117"/>
      <c r="Y32" s="117"/>
      <c r="Z32" s="117"/>
      <c r="AA32" s="117"/>
    </row>
    <row r="33" spans="7:27" ht="14.45" customHeight="1" x14ac:dyDescent="0.25">
      <c r="P33" s="118" t="str">
        <f>IF(J4="","CPH","CPH = "&amp;S6)</f>
        <v>CPH</v>
      </c>
      <c r="Q33" s="116"/>
      <c r="T33" s="16"/>
      <c r="U33" s="117"/>
      <c r="V33" s="117"/>
      <c r="W33" s="117"/>
      <c r="X33" s="117"/>
      <c r="Y33" s="117"/>
      <c r="Z33" s="117"/>
      <c r="AA33" s="117"/>
    </row>
    <row r="34" spans="7:27" ht="14.45" customHeight="1" x14ac:dyDescent="0.25">
      <c r="G34" s="116" t="str">
        <f>IF(J4="","H - 87",J4-87)</f>
        <v>H - 87</v>
      </c>
      <c r="K34" s="116" t="str">
        <f>IF(J4="","K = H - 47","K = "&amp;J4-47)</f>
        <v>K = H - 47</v>
      </c>
      <c r="L34" s="116"/>
      <c r="M34" s="116" t="str">
        <f>IF(J4="","H - 415",J4-415)</f>
        <v>H - 415</v>
      </c>
      <c r="P34" s="118"/>
      <c r="Q34" s="116"/>
      <c r="T34" s="16"/>
      <c r="U34" s="117"/>
      <c r="V34" s="117"/>
      <c r="W34" s="117"/>
      <c r="X34" s="117"/>
      <c r="Y34" s="117"/>
      <c r="Z34" s="117"/>
      <c r="AA34" s="117"/>
    </row>
    <row r="35" spans="7:27" ht="17.25" x14ac:dyDescent="0.25">
      <c r="G35" s="116"/>
      <c r="K35" s="116"/>
      <c r="L35" s="116"/>
      <c r="M35" s="116"/>
      <c r="P35" s="118"/>
      <c r="Q35" s="116"/>
      <c r="T35" s="5" t="s">
        <v>23</v>
      </c>
      <c r="U35" t="str">
        <f>Translation!C51</f>
        <v>bei der Verwendung der Toorflügelsperre</v>
      </c>
    </row>
    <row r="36" spans="7:27" ht="15.75" thickBot="1" x14ac:dyDescent="0.3">
      <c r="G36" s="116"/>
      <c r="K36" s="116"/>
      <c r="L36" s="116"/>
      <c r="M36" s="116"/>
      <c r="P36" s="118"/>
      <c r="Q36" s="116"/>
    </row>
    <row r="37" spans="7:27" x14ac:dyDescent="0.25">
      <c r="G37" s="116"/>
      <c r="K37" s="116"/>
      <c r="L37" s="116"/>
      <c r="M37" s="116"/>
      <c r="P37" s="118"/>
      <c r="Q37" s="116"/>
      <c r="S37" s="119" t="s">
        <v>10</v>
      </c>
      <c r="T37" s="120"/>
      <c r="U37" s="121" t="s">
        <v>11</v>
      </c>
      <c r="V37" s="123" t="s">
        <v>12</v>
      </c>
      <c r="W37" s="94" t="str">
        <f>Translation!C6</f>
        <v>Tor ohne Motor</v>
      </c>
      <c r="X37" s="95"/>
      <c r="Y37" s="96"/>
      <c r="Z37" s="94" t="str">
        <f>Translation!C7</f>
        <v>Tor mit Motor</v>
      </c>
      <c r="AA37" s="96"/>
    </row>
    <row r="38" spans="7:27" ht="18" thickBot="1" x14ac:dyDescent="0.3">
      <c r="O38" s="5"/>
      <c r="P38" s="5"/>
      <c r="S38" s="17" t="s">
        <v>24</v>
      </c>
      <c r="T38" s="18" t="s">
        <v>25</v>
      </c>
      <c r="U38" s="122"/>
      <c r="V38" s="124"/>
      <c r="W38" s="19" t="s">
        <v>26</v>
      </c>
      <c r="X38" s="20" t="s">
        <v>27</v>
      </c>
      <c r="Y38" s="21" t="s">
        <v>28</v>
      </c>
      <c r="Z38" s="19" t="str">
        <f>W38</f>
        <v>min. CEL</v>
      </c>
      <c r="AA38" s="21" t="s">
        <v>27</v>
      </c>
    </row>
    <row r="39" spans="7:27" x14ac:dyDescent="0.25">
      <c r="K39" s="11"/>
      <c r="S39" s="22"/>
      <c r="T39" s="23">
        <v>2000</v>
      </c>
      <c r="U39" s="24">
        <f>T39+575</f>
        <v>2575</v>
      </c>
      <c r="V39" s="103" t="s">
        <v>29</v>
      </c>
      <c r="W39" s="106" t="s">
        <v>30</v>
      </c>
      <c r="X39" s="109" t="s">
        <v>31</v>
      </c>
      <c r="Y39" s="112" t="s">
        <v>10</v>
      </c>
      <c r="Z39" s="106" t="s">
        <v>30</v>
      </c>
      <c r="AA39" s="113" t="s">
        <v>10</v>
      </c>
    </row>
    <row r="40" spans="7:27" x14ac:dyDescent="0.25">
      <c r="S40" s="25">
        <f>T39+1</f>
        <v>2001</v>
      </c>
      <c r="T40" s="26">
        <v>2125</v>
      </c>
      <c r="U40" s="27">
        <f t="shared" ref="U40:U45" si="0">T40+575</f>
        <v>2700</v>
      </c>
      <c r="V40" s="104"/>
      <c r="W40" s="107"/>
      <c r="X40" s="110"/>
      <c r="Y40" s="104"/>
      <c r="Z40" s="107"/>
      <c r="AA40" s="114"/>
    </row>
    <row r="41" spans="7:27" x14ac:dyDescent="0.25">
      <c r="S41" s="25">
        <f t="shared" ref="S41:S45" si="1">T40+1</f>
        <v>2126</v>
      </c>
      <c r="T41" s="26">
        <v>2250</v>
      </c>
      <c r="U41" s="27">
        <f t="shared" si="0"/>
        <v>2825</v>
      </c>
      <c r="V41" s="104"/>
      <c r="W41" s="107"/>
      <c r="X41" s="110"/>
      <c r="Y41" s="104"/>
      <c r="Z41" s="107"/>
      <c r="AA41" s="114"/>
    </row>
    <row r="42" spans="7:27" x14ac:dyDescent="0.25">
      <c r="S42" s="25">
        <f t="shared" si="1"/>
        <v>2251</v>
      </c>
      <c r="T42" s="26">
        <v>2375</v>
      </c>
      <c r="U42" s="27">
        <f t="shared" si="0"/>
        <v>2950</v>
      </c>
      <c r="V42" s="104"/>
      <c r="W42" s="107"/>
      <c r="X42" s="110"/>
      <c r="Y42" s="104"/>
      <c r="Z42" s="107"/>
      <c r="AA42" s="114"/>
    </row>
    <row r="43" spans="7:27" x14ac:dyDescent="0.25">
      <c r="S43" s="25">
        <f t="shared" si="1"/>
        <v>2376</v>
      </c>
      <c r="T43" s="26">
        <v>2500</v>
      </c>
      <c r="U43" s="27">
        <f t="shared" si="0"/>
        <v>3075</v>
      </c>
      <c r="V43" s="104"/>
      <c r="W43" s="107"/>
      <c r="X43" s="110"/>
      <c r="Y43" s="104"/>
      <c r="Z43" s="107"/>
      <c r="AA43" s="114"/>
    </row>
    <row r="44" spans="7:27" x14ac:dyDescent="0.25">
      <c r="S44" s="25">
        <f t="shared" si="1"/>
        <v>2501</v>
      </c>
      <c r="T44" s="26">
        <v>2750</v>
      </c>
      <c r="U44" s="27">
        <f t="shared" si="0"/>
        <v>3325</v>
      </c>
      <c r="V44" s="104"/>
      <c r="W44" s="107"/>
      <c r="X44" s="110"/>
      <c r="Y44" s="104"/>
      <c r="Z44" s="107"/>
      <c r="AA44" s="114"/>
    </row>
    <row r="45" spans="7:27" ht="15.75" thickBot="1" x14ac:dyDescent="0.3">
      <c r="S45" s="28">
        <f t="shared" si="1"/>
        <v>2751</v>
      </c>
      <c r="T45" s="29">
        <v>3000</v>
      </c>
      <c r="U45" s="30">
        <f t="shared" si="0"/>
        <v>3575</v>
      </c>
      <c r="V45" s="105"/>
      <c r="W45" s="108"/>
      <c r="X45" s="111"/>
      <c r="Y45" s="105"/>
      <c r="Z45" s="108"/>
      <c r="AA45" s="115"/>
    </row>
    <row r="47" spans="7:27" x14ac:dyDescent="0.25">
      <c r="Y47" s="5"/>
    </row>
    <row r="48" spans="7:27" ht="15.75" thickBot="1" x14ac:dyDescent="0.3">
      <c r="N48">
        <v>150</v>
      </c>
      <c r="T48" s="5"/>
      <c r="Y48" s="31"/>
    </row>
    <row r="49" spans="1:29" ht="15.75" thickBot="1" x14ac:dyDescent="0.3">
      <c r="S49" s="89" t="str">
        <f>Translation!C44</f>
        <v>Die Information über den Antrieb</v>
      </c>
      <c r="T49" s="90"/>
      <c r="U49" s="90"/>
      <c r="V49" s="90"/>
      <c r="W49" s="90"/>
      <c r="X49" s="90"/>
      <c r="Y49" s="90"/>
      <c r="Z49" s="90"/>
      <c r="AA49" s="90"/>
      <c r="AB49" s="90"/>
      <c r="AC49" s="91"/>
    </row>
    <row r="50" spans="1:29" x14ac:dyDescent="0.25">
      <c r="S50" s="92" t="s">
        <v>10</v>
      </c>
      <c r="T50" s="93"/>
      <c r="U50" s="94" t="s">
        <v>18</v>
      </c>
      <c r="V50" s="95"/>
      <c r="W50" s="96"/>
      <c r="X50" s="94" t="s">
        <v>19</v>
      </c>
      <c r="Y50" s="95"/>
      <c r="Z50" s="96"/>
      <c r="AA50" s="94" t="s">
        <v>20</v>
      </c>
      <c r="AB50" s="95"/>
      <c r="AC50" s="96"/>
    </row>
    <row r="51" spans="1:29" ht="15.75" thickBot="1" x14ac:dyDescent="0.3">
      <c r="S51" s="17" t="s">
        <v>24</v>
      </c>
      <c r="T51" s="18" t="s">
        <v>25</v>
      </c>
      <c r="U51" s="19" t="s">
        <v>32</v>
      </c>
      <c r="V51" s="20" t="s">
        <v>33</v>
      </c>
      <c r="W51" s="21" t="s">
        <v>34</v>
      </c>
      <c r="X51" s="19" t="str">
        <f>U51</f>
        <v>Black</v>
      </c>
      <c r="Y51" s="20" t="str">
        <f>V51</f>
        <v>RUN 600</v>
      </c>
      <c r="Z51" s="21" t="s">
        <v>34</v>
      </c>
      <c r="AA51" s="19" t="str">
        <f>X51</f>
        <v>Black</v>
      </c>
      <c r="AB51" s="20" t="str">
        <f>Y51</f>
        <v>RUN 600</v>
      </c>
      <c r="AC51" s="21" t="s">
        <v>34</v>
      </c>
    </row>
    <row r="52" spans="1:29" x14ac:dyDescent="0.25">
      <c r="S52" s="32"/>
      <c r="T52" s="33">
        <v>2000</v>
      </c>
      <c r="U52" s="97">
        <v>3540</v>
      </c>
      <c r="V52" s="78">
        <v>3100</v>
      </c>
      <c r="W52" s="98">
        <f>Selections!L14</f>
        <v>3680</v>
      </c>
      <c r="X52" s="76">
        <v>1400</v>
      </c>
      <c r="Y52" s="100"/>
      <c r="Z52" s="98">
        <f>Selections!R14</f>
        <v>1800</v>
      </c>
      <c r="AA52" s="76">
        <v>3265</v>
      </c>
      <c r="AB52" s="78">
        <v>2950</v>
      </c>
      <c r="AC52" s="80">
        <f>Selections!O14</f>
        <v>3480</v>
      </c>
    </row>
    <row r="53" spans="1:29" x14ac:dyDescent="0.25">
      <c r="B53" t="str">
        <f>Translation!C52</f>
        <v>Minimale Tragfähigkeit der Decke/maximale Belastung in jedem einzelnen Befestigungspunkt: 100kg</v>
      </c>
      <c r="S53" s="34">
        <f>T52+1</f>
        <v>2001</v>
      </c>
      <c r="T53" s="35">
        <v>2125</v>
      </c>
      <c r="U53" s="77"/>
      <c r="V53" s="79"/>
      <c r="W53" s="86"/>
      <c r="X53" s="77"/>
      <c r="Y53" s="101"/>
      <c r="Z53" s="86"/>
      <c r="AA53" s="77"/>
      <c r="AB53" s="79"/>
      <c r="AC53" s="81"/>
    </row>
    <row r="54" spans="1:29" x14ac:dyDescent="0.25">
      <c r="S54" s="34">
        <f t="shared" ref="S54:S58" si="2">T53+1</f>
        <v>2126</v>
      </c>
      <c r="T54" s="35">
        <v>2250</v>
      </c>
      <c r="U54" s="77"/>
      <c r="V54" s="83">
        <f>U56</f>
        <v>4240</v>
      </c>
      <c r="W54" s="86"/>
      <c r="X54" s="77"/>
      <c r="Y54" s="101"/>
      <c r="Z54" s="86"/>
      <c r="AA54" s="77"/>
      <c r="AB54" s="83">
        <v>4060</v>
      </c>
      <c r="AC54" s="81"/>
    </row>
    <row r="55" spans="1:29" x14ac:dyDescent="0.25">
      <c r="A55" s="5" t="s">
        <v>35</v>
      </c>
      <c r="F55" t="s">
        <v>9</v>
      </c>
      <c r="L55" t="s">
        <v>36</v>
      </c>
      <c r="S55" s="34">
        <f t="shared" si="2"/>
        <v>2251</v>
      </c>
      <c r="T55" s="35">
        <v>2375</v>
      </c>
      <c r="U55" s="77"/>
      <c r="V55" s="83"/>
      <c r="W55" s="86"/>
      <c r="X55" s="77"/>
      <c r="Y55" s="101"/>
      <c r="Z55" s="86"/>
      <c r="AA55" s="77"/>
      <c r="AB55" s="83"/>
      <c r="AC55" s="81"/>
    </row>
    <row r="56" spans="1:29" x14ac:dyDescent="0.25">
      <c r="S56" s="34">
        <f t="shared" si="2"/>
        <v>2376</v>
      </c>
      <c r="T56" s="35">
        <v>2500</v>
      </c>
      <c r="U56" s="77">
        <v>4240</v>
      </c>
      <c r="V56" s="83"/>
      <c r="W56" s="99"/>
      <c r="X56" s="77"/>
      <c r="Y56" s="101"/>
      <c r="Z56" s="99"/>
      <c r="AA56" s="77">
        <v>3975</v>
      </c>
      <c r="AB56" s="83"/>
      <c r="AC56" s="82"/>
    </row>
    <row r="57" spans="1:29" x14ac:dyDescent="0.25">
      <c r="S57" s="34">
        <f t="shared" si="2"/>
        <v>2501</v>
      </c>
      <c r="T57" s="35">
        <v>2750</v>
      </c>
      <c r="U57" s="77"/>
      <c r="V57" s="83"/>
      <c r="W57" s="86">
        <f>Selections!L15</f>
        <v>4160</v>
      </c>
      <c r="X57" s="77"/>
      <c r="Y57" s="101"/>
      <c r="Z57" s="86">
        <f>Selections!R15</f>
        <v>2050</v>
      </c>
      <c r="AA57" s="77"/>
      <c r="AB57" s="83"/>
      <c r="AC57" s="81">
        <f>Selections!O15</f>
        <v>3960</v>
      </c>
    </row>
    <row r="58" spans="1:29" ht="15.75" thickBot="1" x14ac:dyDescent="0.3">
      <c r="N58">
        <v>54</v>
      </c>
      <c r="S58" s="36">
        <f t="shared" si="2"/>
        <v>2751</v>
      </c>
      <c r="T58" s="37">
        <v>3000</v>
      </c>
      <c r="U58" s="85"/>
      <c r="V58" s="84"/>
      <c r="W58" s="87"/>
      <c r="X58" s="85"/>
      <c r="Y58" s="102"/>
      <c r="Z58" s="87"/>
      <c r="AA58" s="85"/>
      <c r="AB58" s="84"/>
      <c r="AC58" s="88"/>
    </row>
    <row r="61" spans="1:29" ht="15.75" thickBot="1" x14ac:dyDescent="0.3"/>
    <row r="62" spans="1:29" x14ac:dyDescent="0.25">
      <c r="W62" s="2"/>
      <c r="X62" s="38" t="s">
        <v>37</v>
      </c>
      <c r="Y62" s="64" t="s">
        <v>37</v>
      </c>
      <c r="Z62" s="65"/>
      <c r="AA62" s="65"/>
      <c r="AB62" s="65"/>
      <c r="AC62" s="66"/>
    </row>
    <row r="63" spans="1:29" ht="14.45" customHeight="1" x14ac:dyDescent="0.25">
      <c r="W63" s="6"/>
      <c r="X63" s="39"/>
      <c r="Y63" s="67" t="s">
        <v>38</v>
      </c>
      <c r="Z63" s="68"/>
      <c r="AA63" s="68"/>
      <c r="AB63" s="68"/>
      <c r="AC63" s="69"/>
    </row>
    <row r="64" spans="1:29" ht="14.45" customHeight="1" x14ac:dyDescent="0.25">
      <c r="W64" s="6"/>
      <c r="X64" s="39"/>
      <c r="Y64" s="70"/>
      <c r="Z64" s="71"/>
      <c r="AA64" s="71"/>
      <c r="AB64" s="71"/>
      <c r="AC64" s="72"/>
    </row>
    <row r="65" spans="23:29" ht="14.45" customHeight="1" x14ac:dyDescent="0.25">
      <c r="W65" s="6"/>
      <c r="X65" s="39"/>
      <c r="Y65" s="73"/>
      <c r="Z65" s="74"/>
      <c r="AA65" s="74"/>
      <c r="AB65" s="74"/>
      <c r="AC65" s="75"/>
    </row>
    <row r="66" spans="23:29" x14ac:dyDescent="0.25">
      <c r="W66" s="6"/>
      <c r="X66" s="39"/>
      <c r="Y66" s="40"/>
      <c r="Z66" s="41"/>
      <c r="AA66" s="42"/>
      <c r="AB66" s="43" t="str">
        <f>Translation!C31</f>
        <v>Version:</v>
      </c>
      <c r="AC66" s="44" t="str">
        <f>Translation!C32</f>
        <v>Format:</v>
      </c>
    </row>
    <row r="67" spans="23:29" ht="15.75" thickBot="1" x14ac:dyDescent="0.3">
      <c r="W67" s="8"/>
      <c r="X67" s="45"/>
      <c r="Y67" s="46"/>
      <c r="Z67" s="9">
        <v>2341</v>
      </c>
      <c r="AA67" s="45"/>
      <c r="AB67" s="20">
        <v>2341</v>
      </c>
      <c r="AC67" s="21" t="s">
        <v>39</v>
      </c>
    </row>
  </sheetData>
  <sheetProtection algorithmName="SHA-512" hashValue="nR7dxjcBAQtts9PZ43H//IYNcPKOjad0VmSMYuYTJfUFGku4EHf5pc0DwxbZM8z0a+vM4OEIJn+jk1I2ukm8qQ==" saltValue="xYpa9Cdayr8GgFCa5rStLQ==" spinCount="100000" sheet="1" objects="1" scenarios="1" selectLockedCells="1"/>
  <mergeCells count="60">
    <mergeCell ref="A11:B11"/>
    <mergeCell ref="J2:J3"/>
    <mergeCell ref="S2:S3"/>
    <mergeCell ref="Z2:Z3"/>
    <mergeCell ref="K3:L4"/>
    <mergeCell ref="D4:D5"/>
    <mergeCell ref="J4:J5"/>
    <mergeCell ref="S4:S5"/>
    <mergeCell ref="Z4:Z5"/>
    <mergeCell ref="C21:C22"/>
    <mergeCell ref="J6:K7"/>
    <mergeCell ref="S6:S7"/>
    <mergeCell ref="Z6:Z7"/>
    <mergeCell ref="S8:S9"/>
    <mergeCell ref="Z8:Z9"/>
    <mergeCell ref="G12:G13"/>
    <mergeCell ref="I13:I14"/>
    <mergeCell ref="M14:M15"/>
    <mergeCell ref="D15:E16"/>
    <mergeCell ref="N15:N16"/>
    <mergeCell ref="Q31:Q37"/>
    <mergeCell ref="U32:AA34"/>
    <mergeCell ref="P33:P37"/>
    <mergeCell ref="G34:G37"/>
    <mergeCell ref="K34:K37"/>
    <mergeCell ref="L34:L37"/>
    <mergeCell ref="M34:M37"/>
    <mergeCell ref="S37:T37"/>
    <mergeCell ref="U37:U38"/>
    <mergeCell ref="V37:V38"/>
    <mergeCell ref="W37:Y37"/>
    <mergeCell ref="Z37:AA37"/>
    <mergeCell ref="V39:V45"/>
    <mergeCell ref="W39:W45"/>
    <mergeCell ref="X39:X45"/>
    <mergeCell ref="Y39:Y45"/>
    <mergeCell ref="Z39:Z45"/>
    <mergeCell ref="AA39:AA45"/>
    <mergeCell ref="S49:AC49"/>
    <mergeCell ref="S50:T50"/>
    <mergeCell ref="U50:W50"/>
    <mergeCell ref="X50:Z50"/>
    <mergeCell ref="AA50:AC50"/>
    <mergeCell ref="V54:V58"/>
    <mergeCell ref="AB54:AB58"/>
    <mergeCell ref="U56:U58"/>
    <mergeCell ref="AA56:AA58"/>
    <mergeCell ref="W57:W58"/>
    <mergeCell ref="Z57:Z58"/>
    <mergeCell ref="U52:U55"/>
    <mergeCell ref="V52:V53"/>
    <mergeCell ref="W52:W56"/>
    <mergeCell ref="X52:Y58"/>
    <mergeCell ref="Z52:Z56"/>
    <mergeCell ref="Y62:AC62"/>
    <mergeCell ref="Y63:AC65"/>
    <mergeCell ref="AA52:AA55"/>
    <mergeCell ref="AB52:AB53"/>
    <mergeCell ref="AC52:AC56"/>
    <mergeCell ref="AC57:AC58"/>
  </mergeCells>
  <dataValidations count="3">
    <dataValidation type="whole" operator="greaterThanOrEqual" allowBlank="1" showInputMessage="1" showErrorMessage="1" promptTitle="Min. 200 mm" sqref="S8:S9" xr:uid="{E411AD88-12E5-4D9F-A279-41591B6A8EDB}">
      <formula1>200</formula1>
    </dataValidation>
    <dataValidation type="whole" operator="lessThanOrEqual" allowBlank="1" showInputMessage="1" showErrorMessage="1" errorTitle="Max. = 3000 mm" sqref="J4:J5" xr:uid="{C80DD5C1-DBD8-461F-9142-DE17E5F9C813}">
      <formula1>3000</formula1>
    </dataValidation>
    <dataValidation type="whole" operator="lessThanOrEqual" allowBlank="1" showInputMessage="1" showErrorMessage="1" errorTitle="Max = 5500 mm" sqref="J2:J3" xr:uid="{ED91BD35-3989-4DB5-820A-C2C6CBE9BB33}">
      <formula1>5500</formula1>
    </dataValidation>
  </dataValidations>
  <hyperlinks>
    <hyperlink ref="Y62" r:id="rId1" display="http://door-documents.com/en/guardy-installation-drawing-lhf-c" xr:uid="{860F26AA-50C9-498E-A953-6511B236598E}"/>
  </hyperlinks>
  <printOptions horizontalCentered="1" verticalCentered="1"/>
  <pageMargins left="0.11811023622047245" right="0.11811023622047245" top="0.19685039370078741" bottom="0.19685039370078741" header="0" footer="0"/>
  <pageSetup paperSize="9" scale="55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FCF1F5E-60CF-416C-9668-C0F1E839CEF7}">
          <x14:formula1>
            <xm:f>Selections!$I$4:$I$7</xm:f>
          </x14:formula1>
          <xm:sqref>Z2:Z3</xm:sqref>
        </x14:dataValidation>
        <x14:dataValidation type="list" allowBlank="1" showInputMessage="1" showErrorMessage="1" xr:uid="{890DBD75-6A27-4667-9CC2-6B2324B4A701}">
          <x14:formula1>
            <xm:f>Selections!$C$4:$C$6</xm:f>
          </x14:formula1>
          <xm:sqref>J6:K7</xm:sqref>
        </x14:dataValidation>
        <x14:dataValidation type="list" allowBlank="1" showErrorMessage="1" xr:uid="{4E966B34-DCCB-488C-B989-92F14DAA5FA8}">
          <x14:formula1>
            <xm:f>Selections!$A$2:$A$9</xm:f>
          </x14:formula1>
          <xm:sqref>D4:D5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72000F-B6E9-4316-9524-38F59819671F}">
  <sheetPr codeName="List2"/>
  <dimension ref="A1:AE69"/>
  <sheetViews>
    <sheetView topLeftCell="K1" zoomScale="80" zoomScaleNormal="80" workbookViewId="0">
      <pane ySplit="2" topLeftCell="A3" activePane="bottomLeft" state="frozen"/>
      <selection activeCell="Z12" sqref="Z12"/>
      <selection pane="bottomLeft" activeCell="L32" sqref="L32"/>
    </sheetView>
  </sheetViews>
  <sheetFormatPr baseColWidth="10" defaultColWidth="9.140625" defaultRowHeight="15" x14ac:dyDescent="0.25"/>
  <cols>
    <col min="1" max="1" width="9.85546875" bestFit="1" customWidth="1"/>
    <col min="2" max="2" width="9.85546875" style="49" customWidth="1"/>
    <col min="3" max="3" width="9.85546875" customWidth="1"/>
    <col min="4" max="4" width="9.85546875" style="49" customWidth="1"/>
    <col min="5" max="5" width="9.85546875" customWidth="1"/>
    <col min="6" max="6" width="9.85546875" style="49" customWidth="1"/>
    <col min="7" max="7" width="9.85546875" customWidth="1"/>
    <col min="8" max="8" width="9.85546875" style="49" customWidth="1"/>
    <col min="9" max="9" width="44.7109375" bestFit="1" customWidth="1"/>
    <col min="10" max="10" width="63.140625" bestFit="1" customWidth="1"/>
    <col min="11" max="11" width="82.5703125" customWidth="1"/>
    <col min="12" max="12" width="71" customWidth="1"/>
    <col min="13" max="13" width="96.140625" customWidth="1"/>
    <col min="14" max="14" width="82.7109375" bestFit="1" customWidth="1"/>
    <col min="15" max="15" width="109.28515625" bestFit="1" customWidth="1"/>
  </cols>
  <sheetData>
    <row r="1" spans="1:16" x14ac:dyDescent="0.25">
      <c r="A1" s="47"/>
      <c r="B1" s="48"/>
      <c r="C1" s="47" t="s">
        <v>40</v>
      </c>
      <c r="D1" s="48"/>
      <c r="E1" s="47"/>
      <c r="F1" s="48"/>
      <c r="G1" s="47"/>
      <c r="H1" s="48"/>
    </row>
    <row r="2" spans="1:16" x14ac:dyDescent="0.25">
      <c r="C2">
        <f>IF(ISERROR(VLOOKUP('LHF-C'!D4,Selections!A1:B12,2,FALSE))=TRUE,"Translation not available",VLOOKUP('LHF-C'!D4,Selections!A1:B12,2,FALSE))</f>
        <v>3</v>
      </c>
      <c r="I2" t="s">
        <v>3</v>
      </c>
      <c r="J2" t="s">
        <v>44</v>
      </c>
      <c r="K2" t="s">
        <v>45</v>
      </c>
      <c r="L2" t="s">
        <v>46</v>
      </c>
      <c r="M2" t="s">
        <v>47</v>
      </c>
      <c r="N2" t="s">
        <v>48</v>
      </c>
      <c r="O2" t="s">
        <v>49</v>
      </c>
      <c r="P2" s="50" t="s">
        <v>50</v>
      </c>
    </row>
    <row r="3" spans="1:16" x14ac:dyDescent="0.25">
      <c r="C3" t="str">
        <f>VLOOKUP($I3,$I:$T,C$2,FALSE)</f>
        <v>Allgemeine</v>
      </c>
      <c r="I3" t="s">
        <v>51</v>
      </c>
      <c r="J3" t="s">
        <v>52</v>
      </c>
      <c r="K3" s="51" t="s">
        <v>53</v>
      </c>
      <c r="L3" s="51" t="s">
        <v>54</v>
      </c>
      <c r="M3" s="51" t="s">
        <v>55</v>
      </c>
      <c r="N3" s="51" t="s">
        <v>56</v>
      </c>
      <c r="O3" s="51" t="s">
        <v>57</v>
      </c>
      <c r="P3" s="50" t="s">
        <v>58</v>
      </c>
    </row>
    <row r="4" spans="1:16" x14ac:dyDescent="0.25">
      <c r="C4" t="str">
        <f t="shared" ref="C4:C43" si="0">VLOOKUP($I4,$I:$T,C$2,FALSE)</f>
        <v>Höhe [mm]</v>
      </c>
      <c r="I4" t="s">
        <v>59</v>
      </c>
      <c r="J4" t="s">
        <v>60</v>
      </c>
      <c r="K4" s="51" t="s">
        <v>61</v>
      </c>
      <c r="L4" s="51" t="s">
        <v>62</v>
      </c>
      <c r="M4" s="51" t="s">
        <v>63</v>
      </c>
      <c r="N4" s="51" t="s">
        <v>64</v>
      </c>
      <c r="O4" s="51" t="s">
        <v>65</v>
      </c>
      <c r="P4" s="50" t="s">
        <v>66</v>
      </c>
    </row>
    <row r="5" spans="1:16" x14ac:dyDescent="0.25">
      <c r="C5" t="str">
        <f t="shared" si="0"/>
        <v>Min. Deckenhöhe [mm]</v>
      </c>
      <c r="I5" t="s">
        <v>67</v>
      </c>
      <c r="J5" t="s">
        <v>68</v>
      </c>
      <c r="K5" s="51" t="s">
        <v>69</v>
      </c>
      <c r="L5" s="51" t="s">
        <v>70</v>
      </c>
      <c r="M5" s="51" t="s">
        <v>71</v>
      </c>
      <c r="N5" s="51" t="s">
        <v>72</v>
      </c>
      <c r="O5" s="51" t="s">
        <v>73</v>
      </c>
      <c r="P5" s="50" t="s">
        <v>74</v>
      </c>
    </row>
    <row r="6" spans="1:16" x14ac:dyDescent="0.25">
      <c r="C6" t="str">
        <f t="shared" si="0"/>
        <v>Tor ohne Motor</v>
      </c>
      <c r="I6" t="s">
        <v>75</v>
      </c>
      <c r="J6" t="s">
        <v>76</v>
      </c>
      <c r="K6" s="51" t="s">
        <v>77</v>
      </c>
      <c r="L6" s="51" t="s">
        <v>78</v>
      </c>
      <c r="M6" s="51" t="s">
        <v>79</v>
      </c>
      <c r="N6" s="51" t="s">
        <v>80</v>
      </c>
      <c r="O6" s="51" t="s">
        <v>81</v>
      </c>
      <c r="P6" s="50" t="s">
        <v>82</v>
      </c>
    </row>
    <row r="7" spans="1:16" x14ac:dyDescent="0.25">
      <c r="C7" t="str">
        <f t="shared" si="0"/>
        <v>Tor mit Motor</v>
      </c>
      <c r="I7" t="s">
        <v>83</v>
      </c>
      <c r="J7" t="s">
        <v>84</v>
      </c>
      <c r="K7" s="51" t="s">
        <v>85</v>
      </c>
      <c r="L7" s="51" t="s">
        <v>86</v>
      </c>
      <c r="M7" s="51" t="s">
        <v>87</v>
      </c>
      <c r="N7" s="51" t="s">
        <v>88</v>
      </c>
      <c r="O7" s="51" t="s">
        <v>89</v>
      </c>
      <c r="P7" s="50" t="s">
        <v>90</v>
      </c>
    </row>
    <row r="8" spans="1:16" x14ac:dyDescent="0.25">
      <c r="C8" t="str">
        <f t="shared" si="0"/>
        <v>Deckenhöhe [mm]</v>
      </c>
      <c r="I8" t="s">
        <v>91</v>
      </c>
      <c r="J8" t="s">
        <v>92</v>
      </c>
      <c r="K8" s="51" t="s">
        <v>93</v>
      </c>
      <c r="L8" s="51" t="s">
        <v>94</v>
      </c>
      <c r="M8" s="51" t="s">
        <v>95</v>
      </c>
      <c r="N8" s="51" t="s">
        <v>96</v>
      </c>
      <c r="O8" s="51" t="s">
        <v>97</v>
      </c>
      <c r="P8" s="50" t="s">
        <v>98</v>
      </c>
    </row>
    <row r="9" spans="1:16" x14ac:dyDescent="0.25">
      <c r="C9" t="str">
        <f t="shared" si="0"/>
        <v>Höhe zur unteren Kante des Sturzprofiles [mm]</v>
      </c>
      <c r="I9" t="s">
        <v>99</v>
      </c>
      <c r="J9" t="s">
        <v>100</v>
      </c>
      <c r="K9" s="51" t="s">
        <v>101</v>
      </c>
      <c r="L9" s="51" t="s">
        <v>102</v>
      </c>
      <c r="M9" s="51" t="s">
        <v>103</v>
      </c>
      <c r="N9" s="51" t="s">
        <v>104</v>
      </c>
      <c r="O9" t="s">
        <v>105</v>
      </c>
      <c r="P9" s="50" t="s">
        <v>106</v>
      </c>
    </row>
    <row r="10" spans="1:16" x14ac:dyDescent="0.25">
      <c r="C10" t="str">
        <f t="shared" si="0"/>
        <v>Untere Kante des vollständig geöffneten Tors [mm]</v>
      </c>
      <c r="I10" t="s">
        <v>107</v>
      </c>
      <c r="J10" t="s">
        <v>108</v>
      </c>
      <c r="K10" s="51" t="s">
        <v>109</v>
      </c>
      <c r="L10" s="51" t="s">
        <v>110</v>
      </c>
      <c r="M10" s="51" t="s">
        <v>111</v>
      </c>
      <c r="N10" s="51" t="s">
        <v>112</v>
      </c>
      <c r="O10" t="s">
        <v>113</v>
      </c>
      <c r="P10" s="50" t="s">
        <v>114</v>
      </c>
    </row>
    <row r="11" spans="1:16" x14ac:dyDescent="0.25">
      <c r="C11" t="str">
        <f t="shared" si="0"/>
        <v>Untere Kante des vollständig geöffneten Tors (CPH) [mm]</v>
      </c>
      <c r="I11" t="s">
        <v>115</v>
      </c>
      <c r="J11" t="s">
        <v>116</v>
      </c>
      <c r="K11" s="51" t="s">
        <v>117</v>
      </c>
      <c r="L11" s="51" t="s">
        <v>118</v>
      </c>
      <c r="M11" s="51" t="s">
        <v>119</v>
      </c>
      <c r="N11" s="51" t="s">
        <v>120</v>
      </c>
      <c r="O11" t="s">
        <v>121</v>
      </c>
      <c r="P11" s="50" t="s">
        <v>122</v>
      </c>
    </row>
    <row r="12" spans="1:16" x14ac:dyDescent="0.25">
      <c r="C12" t="str">
        <f t="shared" si="0"/>
        <v>Führungstiefe [mm]</v>
      </c>
      <c r="I12" s="52" t="s">
        <v>123</v>
      </c>
      <c r="J12" s="52" t="s">
        <v>124</v>
      </c>
      <c r="K12" s="53" t="s">
        <v>125</v>
      </c>
      <c r="L12" s="53" t="s">
        <v>126</v>
      </c>
      <c r="M12" s="53" t="s">
        <v>127</v>
      </c>
      <c r="N12" s="53" t="s">
        <v>128</v>
      </c>
      <c r="O12" s="53" t="s">
        <v>129</v>
      </c>
      <c r="P12" s="50" t="s">
        <v>130</v>
      </c>
    </row>
    <row r="13" spans="1:16" x14ac:dyDescent="0.25">
      <c r="C13" t="str">
        <f t="shared" si="0"/>
        <v>Führungstiefe (D) [mm]</v>
      </c>
      <c r="I13" s="52" t="s">
        <v>131</v>
      </c>
      <c r="J13" s="52" t="s">
        <v>132</v>
      </c>
      <c r="K13" s="53" t="s">
        <v>133</v>
      </c>
      <c r="L13" s="53" t="s">
        <v>134</v>
      </c>
      <c r="M13" s="53" t="s">
        <v>135</v>
      </c>
      <c r="N13" s="53" t="s">
        <v>136</v>
      </c>
      <c r="O13" s="53" t="s">
        <v>137</v>
      </c>
      <c r="P13" s="50" t="s">
        <v>138</v>
      </c>
    </row>
    <row r="14" spans="1:16" x14ac:dyDescent="0.25">
      <c r="C14" t="str">
        <f t="shared" si="0"/>
        <v>Antriebslänge [mm]</v>
      </c>
      <c r="I14" s="52" t="s">
        <v>139</v>
      </c>
      <c r="J14" s="52" t="s">
        <v>140</v>
      </c>
      <c r="K14" s="53" t="s">
        <v>141</v>
      </c>
      <c r="L14" s="53" t="s">
        <v>142</v>
      </c>
      <c r="M14" s="53" t="s">
        <v>143</v>
      </c>
      <c r="N14" s="53" t="s">
        <v>144</v>
      </c>
      <c r="O14" t="s">
        <v>145</v>
      </c>
      <c r="P14" s="50" t="s">
        <v>146</v>
      </c>
    </row>
    <row r="15" spans="1:16" x14ac:dyDescent="0.25">
      <c r="C15" t="str">
        <f t="shared" si="0"/>
        <v>Antriebslänge (X) [mm]</v>
      </c>
      <c r="I15" s="52" t="s">
        <v>147</v>
      </c>
      <c r="J15" s="52" t="s">
        <v>148</v>
      </c>
      <c r="K15" s="53" t="s">
        <v>149</v>
      </c>
      <c r="L15" s="53" t="s">
        <v>150</v>
      </c>
      <c r="M15" s="53" t="s">
        <v>151</v>
      </c>
      <c r="N15" s="53" t="s">
        <v>152</v>
      </c>
      <c r="O15" t="s">
        <v>153</v>
      </c>
      <c r="P15" s="50" t="s">
        <v>154</v>
      </c>
    </row>
    <row r="16" spans="1:16" x14ac:dyDescent="0.25">
      <c r="C16" t="str">
        <f t="shared" si="0"/>
        <v>Untere Kante der Horizontalführung [mm]</v>
      </c>
      <c r="I16" s="52" t="s">
        <v>155</v>
      </c>
      <c r="J16" s="52" t="s">
        <v>156</v>
      </c>
      <c r="K16" s="51" t="s">
        <v>157</v>
      </c>
      <c r="L16" s="53" t="s">
        <v>158</v>
      </c>
      <c r="M16" s="51" t="s">
        <v>159</v>
      </c>
      <c r="N16" s="53" t="s">
        <v>160</v>
      </c>
      <c r="O16" t="s">
        <v>161</v>
      </c>
      <c r="P16" s="50" t="s">
        <v>162</v>
      </c>
    </row>
    <row r="17" spans="3:16" x14ac:dyDescent="0.25">
      <c r="C17" t="str">
        <f t="shared" si="0"/>
        <v>Untere Kante der Horizontalführung (K) [mm]</v>
      </c>
      <c r="I17" s="52" t="s">
        <v>163</v>
      </c>
      <c r="J17" s="52" t="s">
        <v>164</v>
      </c>
      <c r="K17" s="51" t="s">
        <v>165</v>
      </c>
      <c r="L17" s="53" t="s">
        <v>166</v>
      </c>
      <c r="M17" s="51" t="s">
        <v>167</v>
      </c>
      <c r="N17" s="53" t="s">
        <v>168</v>
      </c>
      <c r="O17" t="s">
        <v>169</v>
      </c>
      <c r="P17" s="50" t="s">
        <v>170</v>
      </c>
    </row>
    <row r="18" spans="3:16" x14ac:dyDescent="0.25">
      <c r="C18" t="str">
        <f t="shared" si="0"/>
        <v>Verankerungspunkt der Antriebsleiste [mm]</v>
      </c>
      <c r="I18" s="52" t="s">
        <v>171</v>
      </c>
      <c r="J18" s="52" t="s">
        <v>172</v>
      </c>
      <c r="K18" s="53" t="s">
        <v>173</v>
      </c>
      <c r="L18" s="53" t="s">
        <v>174</v>
      </c>
      <c r="M18" s="53" t="s">
        <v>175</v>
      </c>
      <c r="N18" s="53" t="s">
        <v>176</v>
      </c>
      <c r="O18" s="53" t="s">
        <v>177</v>
      </c>
      <c r="P18" s="50" t="s">
        <v>178</v>
      </c>
    </row>
    <row r="19" spans="3:16" x14ac:dyDescent="0.25">
      <c r="C19" t="str">
        <f t="shared" si="0"/>
        <v>Verankerungspunkt der Antriebsleiste (E1) [mm]</v>
      </c>
      <c r="I19" s="52" t="s">
        <v>179</v>
      </c>
      <c r="J19" s="52" t="s">
        <v>180</v>
      </c>
      <c r="K19" s="53" t="s">
        <v>181</v>
      </c>
      <c r="L19" s="53" t="s">
        <v>182</v>
      </c>
      <c r="M19" s="53" t="s">
        <v>183</v>
      </c>
      <c r="N19" s="53" t="s">
        <v>184</v>
      </c>
      <c r="O19" s="53" t="s">
        <v>185</v>
      </c>
      <c r="P19" s="50" t="s">
        <v>186</v>
      </c>
    </row>
    <row r="20" spans="3:16" x14ac:dyDescent="0.25">
      <c r="C20" t="str">
        <f t="shared" si="0"/>
        <v>Verankerungspunkt des Antriebes [mm]</v>
      </c>
      <c r="I20" s="52" t="s">
        <v>187</v>
      </c>
      <c r="J20" s="52" t="s">
        <v>188</v>
      </c>
      <c r="K20" s="53" t="s">
        <v>189</v>
      </c>
      <c r="L20" s="53" t="s">
        <v>190</v>
      </c>
      <c r="M20" s="53" t="s">
        <v>191</v>
      </c>
      <c r="N20" s="53" t="s">
        <v>192</v>
      </c>
      <c r="O20" s="53" t="s">
        <v>193</v>
      </c>
      <c r="P20" s="50" t="s">
        <v>194</v>
      </c>
    </row>
    <row r="21" spans="3:16" x14ac:dyDescent="0.25">
      <c r="C21" t="str">
        <f t="shared" si="0"/>
        <v>Verankerungspunkt des Antriebes (E2) [mm]</v>
      </c>
      <c r="I21" s="52" t="s">
        <v>195</v>
      </c>
      <c r="J21" s="52" t="s">
        <v>196</v>
      </c>
      <c r="K21" s="53" t="s">
        <v>197</v>
      </c>
      <c r="L21" s="53" t="s">
        <v>198</v>
      </c>
      <c r="M21" s="53" t="s">
        <v>199</v>
      </c>
      <c r="N21" s="53" t="s">
        <v>200</v>
      </c>
      <c r="O21" s="53" t="s">
        <v>201</v>
      </c>
      <c r="P21" s="50" t="s">
        <v>202</v>
      </c>
    </row>
    <row r="22" spans="3:16" x14ac:dyDescent="0.25">
      <c r="C22" t="str">
        <f t="shared" si="0"/>
        <v>Verankerungspunkt</v>
      </c>
      <c r="I22" s="52" t="s">
        <v>203</v>
      </c>
      <c r="J22" s="52" t="s">
        <v>204</v>
      </c>
      <c r="K22" s="53" t="s">
        <v>205</v>
      </c>
      <c r="L22" s="53" t="s">
        <v>206</v>
      </c>
      <c r="M22" s="53" t="s">
        <v>207</v>
      </c>
      <c r="N22" s="53" t="s">
        <v>208</v>
      </c>
      <c r="O22" s="53" t="s">
        <v>209</v>
      </c>
      <c r="P22" s="50" t="s">
        <v>210</v>
      </c>
    </row>
    <row r="23" spans="3:16" x14ac:dyDescent="0.25">
      <c r="C23" t="str">
        <f t="shared" si="0"/>
        <v>Verankerungspunkt (W&gt;3000 oder H&gt;2500)</v>
      </c>
      <c r="I23" s="52" t="s">
        <v>211</v>
      </c>
      <c r="J23" s="52" t="s">
        <v>212</v>
      </c>
      <c r="K23" s="53" t="s">
        <v>213</v>
      </c>
      <c r="L23" s="53" t="s">
        <v>214</v>
      </c>
      <c r="M23" s="53" t="s">
        <v>215</v>
      </c>
      <c r="N23" s="53" t="s">
        <v>216</v>
      </c>
      <c r="O23" s="53" t="s">
        <v>217</v>
      </c>
      <c r="P23" s="50" t="s">
        <v>218</v>
      </c>
    </row>
    <row r="24" spans="3:16" x14ac:dyDescent="0.25">
      <c r="C24" t="str">
        <f t="shared" si="0"/>
        <v>Standardmontage</v>
      </c>
      <c r="I24" s="52" t="s">
        <v>219</v>
      </c>
      <c r="J24" s="52" t="s">
        <v>220</v>
      </c>
      <c r="K24" s="53" t="s">
        <v>221</v>
      </c>
      <c r="L24" s="53" t="s">
        <v>222</v>
      </c>
      <c r="M24" s="53" t="s">
        <v>223</v>
      </c>
      <c r="N24" s="53" t="s">
        <v>224</v>
      </c>
      <c r="O24" s="53" t="s">
        <v>225</v>
      </c>
      <c r="P24" s="50" t="s">
        <v>226</v>
      </c>
    </row>
    <row r="25" spans="3:16" x14ac:dyDescent="0.25">
      <c r="C25" t="str">
        <f t="shared" si="0"/>
        <v>Alternative Montage</v>
      </c>
      <c r="I25" s="52" t="s">
        <v>227</v>
      </c>
      <c r="J25" s="52" t="s">
        <v>228</v>
      </c>
      <c r="K25" s="53" t="s">
        <v>229</v>
      </c>
      <c r="L25" s="53" t="s">
        <v>230</v>
      </c>
      <c r="M25" s="53" t="s">
        <v>231</v>
      </c>
      <c r="N25" s="53" t="s">
        <v>232</v>
      </c>
      <c r="O25" t="s">
        <v>233</v>
      </c>
      <c r="P25" s="50" t="s">
        <v>234</v>
      </c>
    </row>
    <row r="26" spans="3:16" x14ac:dyDescent="0.25">
      <c r="C26" t="str">
        <f t="shared" si="0"/>
        <v>Höhe der Bauöffnung [mm]</v>
      </c>
      <c r="I26" s="52" t="s">
        <v>235</v>
      </c>
      <c r="J26" s="52" t="s">
        <v>236</v>
      </c>
      <c r="K26" s="53" t="s">
        <v>237</v>
      </c>
      <c r="L26" s="53" t="s">
        <v>238</v>
      </c>
      <c r="M26" s="53" t="s">
        <v>239</v>
      </c>
      <c r="N26" s="53" t="s">
        <v>240</v>
      </c>
      <c r="O26" s="53" t="s">
        <v>241</v>
      </c>
      <c r="P26" s="50" t="s">
        <v>242</v>
      </c>
    </row>
    <row r="27" spans="3:16" x14ac:dyDescent="0.25">
      <c r="C27" t="str">
        <f t="shared" si="0"/>
        <v>Höhe der Bauöffnung (H) [mm]</v>
      </c>
      <c r="I27" s="52" t="s">
        <v>243</v>
      </c>
      <c r="J27" s="52" t="s">
        <v>244</v>
      </c>
      <c r="K27" s="53" t="s">
        <v>245</v>
      </c>
      <c r="L27" s="53" t="s">
        <v>246</v>
      </c>
      <c r="M27" s="53" t="s">
        <v>247</v>
      </c>
      <c r="N27" s="53" t="s">
        <v>248</v>
      </c>
      <c r="O27" t="s">
        <v>249</v>
      </c>
      <c r="P27" s="50" t="s">
        <v>250</v>
      </c>
    </row>
    <row r="28" spans="3:16" x14ac:dyDescent="0.25">
      <c r="C28" t="str">
        <f t="shared" si="0"/>
        <v>Standardsituation</v>
      </c>
      <c r="I28" s="52" t="s">
        <v>251</v>
      </c>
      <c r="J28" s="52" t="s">
        <v>252</v>
      </c>
      <c r="K28" s="53" t="s">
        <v>253</v>
      </c>
      <c r="L28" s="53" t="s">
        <v>254</v>
      </c>
      <c r="M28" s="53" t="s">
        <v>255</v>
      </c>
      <c r="N28" s="53" t="s">
        <v>256</v>
      </c>
      <c r="O28" s="53" t="s">
        <v>257</v>
      </c>
      <c r="P28" s="50" t="s">
        <v>258</v>
      </c>
    </row>
    <row r="29" spans="3:16" x14ac:dyDescent="0.25">
      <c r="C29" t="str">
        <f t="shared" si="0"/>
        <v>Ungewöhnliche Situation</v>
      </c>
      <c r="I29" s="52" t="s">
        <v>259</v>
      </c>
      <c r="J29" s="52" t="s">
        <v>260</v>
      </c>
      <c r="K29" s="53" t="s">
        <v>261</v>
      </c>
      <c r="L29" s="53" t="s">
        <v>262</v>
      </c>
      <c r="M29" s="53" t="s">
        <v>263</v>
      </c>
      <c r="N29" s="53" t="s">
        <v>264</v>
      </c>
      <c r="O29" t="s">
        <v>265</v>
      </c>
      <c r="P29" s="50" t="s">
        <v>266</v>
      </c>
    </row>
    <row r="30" spans="3:16" x14ac:dyDescent="0.25">
      <c r="C30" t="str">
        <f t="shared" si="0"/>
        <v>Die Paneelaufteilung und das Design des Torblattes wird immer auf der Basis von FOH-Mass gelöst.</v>
      </c>
      <c r="I30" s="52" t="s">
        <v>267</v>
      </c>
      <c r="J30" s="52" t="s">
        <v>268</v>
      </c>
      <c r="K30" s="53" t="s">
        <v>269</v>
      </c>
      <c r="L30" s="53" t="s">
        <v>270</v>
      </c>
      <c r="M30" s="53" t="s">
        <v>271</v>
      </c>
      <c r="N30" s="53" t="s">
        <v>272</v>
      </c>
      <c r="O30" s="52" t="s">
        <v>268</v>
      </c>
      <c r="P30" s="52" t="s">
        <v>268</v>
      </c>
    </row>
    <row r="31" spans="3:16" x14ac:dyDescent="0.25">
      <c r="C31" t="str">
        <f t="shared" si="0"/>
        <v>Version:</v>
      </c>
      <c r="I31" s="52" t="s">
        <v>273</v>
      </c>
      <c r="J31" s="52" t="s">
        <v>274</v>
      </c>
      <c r="K31" s="52" t="s">
        <v>274</v>
      </c>
      <c r="L31" s="52" t="s">
        <v>275</v>
      </c>
      <c r="M31" s="52" t="s">
        <v>276</v>
      </c>
      <c r="N31" s="53" t="s">
        <v>277</v>
      </c>
      <c r="O31" t="s">
        <v>278</v>
      </c>
      <c r="P31" s="50" t="s">
        <v>279</v>
      </c>
    </row>
    <row r="32" spans="3:16" x14ac:dyDescent="0.25">
      <c r="C32" t="str">
        <f t="shared" si="0"/>
        <v>Format:</v>
      </c>
      <c r="I32" s="52" t="s">
        <v>280</v>
      </c>
      <c r="J32" s="52" t="s">
        <v>281</v>
      </c>
      <c r="K32" s="52" t="s">
        <v>282</v>
      </c>
      <c r="L32" s="52" t="s">
        <v>282</v>
      </c>
      <c r="M32" s="52" t="s">
        <v>283</v>
      </c>
      <c r="N32" s="53" t="s">
        <v>284</v>
      </c>
      <c r="O32" t="s">
        <v>285</v>
      </c>
      <c r="P32" s="50" t="s">
        <v>286</v>
      </c>
    </row>
    <row r="33" spans="3:16" x14ac:dyDescent="0.25">
      <c r="C33" t="str">
        <f t="shared" si="0"/>
        <v>Die Position der Steckdose ca.250 mm</v>
      </c>
      <c r="I33" s="52" t="s">
        <v>287</v>
      </c>
      <c r="J33" s="52" t="s">
        <v>288</v>
      </c>
      <c r="K33" s="53" t="s">
        <v>289</v>
      </c>
      <c r="L33" s="53" t="s">
        <v>290</v>
      </c>
      <c r="M33" s="53" t="s">
        <v>291</v>
      </c>
      <c r="N33" s="53" t="s">
        <v>292</v>
      </c>
      <c r="O33" t="s">
        <v>293</v>
      </c>
      <c r="P33" s="50" t="s">
        <v>294</v>
      </c>
    </row>
    <row r="34" spans="3:16" x14ac:dyDescent="0.25">
      <c r="C34" t="str">
        <f t="shared" si="0"/>
        <v>Steckdose CEE 7/3 oder CEE 7/5</v>
      </c>
      <c r="I34" s="52" t="s">
        <v>295</v>
      </c>
      <c r="J34" s="52" t="s">
        <v>296</v>
      </c>
      <c r="K34" t="s">
        <v>297</v>
      </c>
      <c r="L34" t="s">
        <v>298</v>
      </c>
      <c r="M34" t="s">
        <v>299</v>
      </c>
      <c r="N34" s="53" t="s">
        <v>300</v>
      </c>
      <c r="O34" t="s">
        <v>301</v>
      </c>
      <c r="P34" s="50" t="s">
        <v>302</v>
      </c>
    </row>
    <row r="35" spans="3:16" x14ac:dyDescent="0.25">
      <c r="C35" t="str">
        <f t="shared" si="0"/>
        <v>230V, 50Hz, Sicherung 6 A (10 A) mit Schutzschalter</v>
      </c>
      <c r="I35" s="52" t="s">
        <v>303</v>
      </c>
      <c r="J35" s="52" t="s">
        <v>304</v>
      </c>
      <c r="K35" t="s">
        <v>305</v>
      </c>
      <c r="L35" t="s">
        <v>306</v>
      </c>
      <c r="M35" t="s">
        <v>307</v>
      </c>
      <c r="N35" s="53" t="s">
        <v>308</v>
      </c>
      <c r="O35" t="s">
        <v>309</v>
      </c>
      <c r="P35" s="50" t="s">
        <v>310</v>
      </c>
    </row>
    <row r="36" spans="3:16" x14ac:dyDescent="0.25">
      <c r="C36" t="str">
        <f t="shared" si="0"/>
        <v>Lichte Breite [mm]</v>
      </c>
      <c r="I36" s="52" t="s">
        <v>311</v>
      </c>
      <c r="J36" s="52" t="s">
        <v>312</v>
      </c>
      <c r="K36" s="52" t="s">
        <v>313</v>
      </c>
      <c r="L36" s="52" t="s">
        <v>314</v>
      </c>
      <c r="M36" s="52" t="s">
        <v>315</v>
      </c>
      <c r="N36" s="53" t="s">
        <v>316</v>
      </c>
      <c r="O36" t="s">
        <v>317</v>
      </c>
      <c r="P36" s="50" t="s">
        <v>318</v>
      </c>
    </row>
    <row r="37" spans="3:16" x14ac:dyDescent="0.25">
      <c r="C37" t="str">
        <f t="shared" si="0"/>
        <v>Lichte Breite (W) [mm]</v>
      </c>
      <c r="I37" s="52" t="s">
        <v>319</v>
      </c>
      <c r="J37" s="52" t="s">
        <v>320</v>
      </c>
      <c r="K37" s="52" t="s">
        <v>321</v>
      </c>
      <c r="L37" s="52" t="s">
        <v>322</v>
      </c>
      <c r="M37" s="52" t="s">
        <v>323</v>
      </c>
      <c r="N37" s="53" t="s">
        <v>324</v>
      </c>
      <c r="O37" t="s">
        <v>325</v>
      </c>
      <c r="P37" s="50" t="s">
        <v>326</v>
      </c>
    </row>
    <row r="38" spans="3:16" x14ac:dyDescent="0.25">
      <c r="C38" t="str">
        <f t="shared" si="0"/>
        <v>Bedienung</v>
      </c>
      <c r="I38" s="52" t="s">
        <v>327</v>
      </c>
      <c r="J38" s="52" t="s">
        <v>328</v>
      </c>
      <c r="K38" s="52" t="s">
        <v>329</v>
      </c>
      <c r="L38" s="52" t="s">
        <v>330</v>
      </c>
      <c r="M38" s="52" t="s">
        <v>331</v>
      </c>
      <c r="N38" s="53" t="s">
        <v>332</v>
      </c>
      <c r="O38" s="52" t="s">
        <v>333</v>
      </c>
      <c r="P38" s="50" t="s">
        <v>334</v>
      </c>
    </row>
    <row r="39" spans="3:16" x14ac:dyDescent="0.25">
      <c r="C39" t="str">
        <f t="shared" si="0"/>
        <v>händisch</v>
      </c>
      <c r="I39" s="52" t="s">
        <v>335</v>
      </c>
      <c r="J39" s="52" t="s">
        <v>336</v>
      </c>
      <c r="K39" s="52" t="s">
        <v>337</v>
      </c>
      <c r="L39" s="52" t="s">
        <v>338</v>
      </c>
      <c r="M39" s="52" t="s">
        <v>339</v>
      </c>
      <c r="N39" s="53" t="s">
        <v>340</v>
      </c>
      <c r="O39" s="52" t="s">
        <v>341</v>
      </c>
      <c r="P39" s="50" t="s">
        <v>82</v>
      </c>
    </row>
    <row r="40" spans="3:16" x14ac:dyDescent="0.25">
      <c r="C40" t="str">
        <f t="shared" si="0"/>
        <v>elektrisch</v>
      </c>
      <c r="I40" s="52" t="s">
        <v>342</v>
      </c>
      <c r="J40" s="52" t="s">
        <v>343</v>
      </c>
      <c r="K40" s="52" t="s">
        <v>344</v>
      </c>
      <c r="L40" s="52" t="s">
        <v>345</v>
      </c>
      <c r="M40" s="52" t="s">
        <v>346</v>
      </c>
      <c r="N40" s="53" t="s">
        <v>344</v>
      </c>
      <c r="O40" s="52" t="s">
        <v>347</v>
      </c>
      <c r="P40" s="50" t="s">
        <v>90</v>
      </c>
    </row>
    <row r="41" spans="3:16" x14ac:dyDescent="0.25">
      <c r="C41" t="str">
        <f t="shared" si="0"/>
        <v>Freiraum über Sturz [mm]</v>
      </c>
      <c r="I41" s="52" t="s">
        <v>348</v>
      </c>
      <c r="J41" s="52" t="s">
        <v>349</v>
      </c>
      <c r="K41" s="52" t="s">
        <v>350</v>
      </c>
      <c r="L41" s="52" t="s">
        <v>351</v>
      </c>
      <c r="M41" s="52" t="s">
        <v>352</v>
      </c>
      <c r="N41" s="53" t="s">
        <v>353</v>
      </c>
      <c r="O41" s="52" t="s">
        <v>354</v>
      </c>
      <c r="P41" s="50" t="s">
        <v>355</v>
      </c>
    </row>
    <row r="42" spans="3:16" x14ac:dyDescent="0.25">
      <c r="C42" t="str">
        <f t="shared" si="0"/>
        <v>Freiraum über Sturz (F) [mm]</v>
      </c>
      <c r="I42" s="52" t="s">
        <v>356</v>
      </c>
      <c r="J42" s="52" t="s">
        <v>357</v>
      </c>
      <c r="K42" s="52" t="s">
        <v>358</v>
      </c>
      <c r="L42" s="52" t="s">
        <v>359</v>
      </c>
      <c r="M42" s="52" t="s">
        <v>360</v>
      </c>
      <c r="N42" s="53" t="s">
        <v>361</v>
      </c>
      <c r="O42" t="s">
        <v>362</v>
      </c>
      <c r="P42" s="50" t="s">
        <v>363</v>
      </c>
    </row>
    <row r="43" spans="3:16" x14ac:dyDescent="0.25">
      <c r="C43" t="str">
        <f t="shared" si="0"/>
        <v>Der Typ des Antriebs</v>
      </c>
      <c r="I43" s="52" t="s">
        <v>364</v>
      </c>
      <c r="J43" s="52" t="s">
        <v>365</v>
      </c>
      <c r="K43" s="52" t="s">
        <v>366</v>
      </c>
      <c r="L43" s="52" t="s">
        <v>367</v>
      </c>
      <c r="M43" s="52" t="s">
        <v>368</v>
      </c>
      <c r="N43" s="53" t="s">
        <v>369</v>
      </c>
      <c r="O43" s="52" t="s">
        <v>370</v>
      </c>
      <c r="P43" s="50" t="s">
        <v>371</v>
      </c>
    </row>
    <row r="44" spans="3:16" x14ac:dyDescent="0.25">
      <c r="C44" t="str">
        <f t="shared" ref="C44:C54" si="1">VLOOKUP($I44,$I:$T,C$2,FALSE)</f>
        <v>Die Information über den Antrieb</v>
      </c>
      <c r="I44" s="52" t="s">
        <v>372</v>
      </c>
      <c r="J44" s="52" t="s">
        <v>373</v>
      </c>
      <c r="K44" s="52" t="s">
        <v>374</v>
      </c>
      <c r="L44" s="52" t="s">
        <v>375</v>
      </c>
      <c r="M44" s="52" t="s">
        <v>376</v>
      </c>
      <c r="N44" s="53" t="s">
        <v>377</v>
      </c>
      <c r="O44" s="52" t="s">
        <v>378</v>
      </c>
      <c r="P44" s="50" t="s">
        <v>379</v>
      </c>
    </row>
    <row r="45" spans="3:16" x14ac:dyDescent="0.25">
      <c r="C45" t="str">
        <f t="shared" si="1"/>
        <v>Die Unterbringung der Oberdichtung</v>
      </c>
      <c r="I45" s="52" t="s">
        <v>380</v>
      </c>
      <c r="J45" s="52" t="s">
        <v>381</v>
      </c>
      <c r="K45" s="52" t="s">
        <v>382</v>
      </c>
      <c r="L45" s="52" t="s">
        <v>383</v>
      </c>
      <c r="M45" s="52" t="s">
        <v>384</v>
      </c>
      <c r="N45" s="53" t="s">
        <v>385</v>
      </c>
      <c r="O45" s="52" t="s">
        <v>386</v>
      </c>
      <c r="P45" s="50" t="s">
        <v>387</v>
      </c>
    </row>
    <row r="46" spans="3:16" x14ac:dyDescent="0.25">
      <c r="C46" t="str">
        <f t="shared" si="1"/>
        <v xml:space="preserve">Auf dem Sturz </v>
      </c>
      <c r="I46" s="52" t="s">
        <v>388</v>
      </c>
      <c r="J46" s="52" t="s">
        <v>389</v>
      </c>
      <c r="K46" s="52" t="s">
        <v>390</v>
      </c>
      <c r="L46" s="52" t="s">
        <v>391</v>
      </c>
      <c r="M46" s="52" t="s">
        <v>392</v>
      </c>
      <c r="N46" s="53" t="s">
        <v>393</v>
      </c>
      <c r="O46" s="52" t="s">
        <v>394</v>
      </c>
      <c r="P46" s="50" t="s">
        <v>395</v>
      </c>
    </row>
    <row r="47" spans="3:16" x14ac:dyDescent="0.25">
      <c r="C47" t="str">
        <f t="shared" si="1"/>
        <v>Auf der Obersektion</v>
      </c>
      <c r="I47" s="52" t="s">
        <v>396</v>
      </c>
      <c r="J47" s="52" t="s">
        <v>397</v>
      </c>
      <c r="K47" s="52" t="s">
        <v>398</v>
      </c>
      <c r="L47" s="52" t="s">
        <v>399</v>
      </c>
      <c r="M47" s="52" t="s">
        <v>400</v>
      </c>
      <c r="N47" s="53" t="s">
        <v>401</v>
      </c>
      <c r="O47" s="52" t="s">
        <v>402</v>
      </c>
      <c r="P47" s="50" t="s">
        <v>403</v>
      </c>
    </row>
    <row r="48" spans="3:16" x14ac:dyDescent="0.25">
      <c r="C48" t="str">
        <f t="shared" si="1"/>
        <v>Version der SL-Umlenkung</v>
      </c>
      <c r="I48" s="52" t="s">
        <v>404</v>
      </c>
      <c r="J48" s="52" t="s">
        <v>405</v>
      </c>
      <c r="K48" s="52" t="s">
        <v>406</v>
      </c>
      <c r="L48" t="s">
        <v>407</v>
      </c>
      <c r="M48" t="s">
        <v>408</v>
      </c>
      <c r="N48" s="53" t="s">
        <v>409</v>
      </c>
      <c r="O48" s="52" t="s">
        <v>410</v>
      </c>
      <c r="P48" s="50" t="s">
        <v>411</v>
      </c>
    </row>
    <row r="49" spans="3:31" x14ac:dyDescent="0.25">
      <c r="C49" t="str">
        <f t="shared" si="1"/>
        <v>= Zargensätze ohne vorgeborte Löcher, Ausführung in RAL 9010</v>
      </c>
      <c r="I49" s="54" t="s">
        <v>412</v>
      </c>
      <c r="J49" s="54" t="s">
        <v>413</v>
      </c>
      <c r="K49" s="54" t="s">
        <v>414</v>
      </c>
      <c r="L49" s="54" t="s">
        <v>415</v>
      </c>
      <c r="M49" s="54" t="s">
        <v>416</v>
      </c>
      <c r="N49" s="55" t="s">
        <v>417</v>
      </c>
      <c r="O49" s="54" t="s">
        <v>413</v>
      </c>
      <c r="P49" s="54" t="s">
        <v>413</v>
      </c>
    </row>
    <row r="50" spans="3:31" x14ac:dyDescent="0.25">
      <c r="C50" t="str">
        <f t="shared" si="1"/>
        <v>Durchfahrtshöhe kann bei der Montage der Zubehörteile an die Innenseite des Torflügels reduziert werden (betrifft Handgriff, Versteifungen, etc.)</v>
      </c>
      <c r="I50" s="52" t="s">
        <v>418</v>
      </c>
      <c r="J50" s="52" t="s">
        <v>419</v>
      </c>
      <c r="K50" s="52" t="s">
        <v>420</v>
      </c>
      <c r="L50" s="52" t="s">
        <v>421</v>
      </c>
      <c r="M50" s="52" t="s">
        <v>422</v>
      </c>
      <c r="N50" s="53" t="s">
        <v>423</v>
      </c>
      <c r="O50" s="52" t="s">
        <v>424</v>
      </c>
      <c r="P50" s="50" t="s">
        <v>425</v>
      </c>
    </row>
    <row r="51" spans="3:31" x14ac:dyDescent="0.25">
      <c r="C51" t="str">
        <f t="shared" si="1"/>
        <v>bei der Verwendung der Toorflügelsperre</v>
      </c>
      <c r="I51" s="52" t="s">
        <v>426</v>
      </c>
      <c r="J51" s="52" t="s">
        <v>427</v>
      </c>
      <c r="K51" s="52" t="s">
        <v>428</v>
      </c>
      <c r="L51" s="52" t="s">
        <v>429</v>
      </c>
      <c r="M51" s="52" t="s">
        <v>430</v>
      </c>
      <c r="N51" t="s">
        <v>431</v>
      </c>
      <c r="O51" s="52" t="s">
        <v>432</v>
      </c>
      <c r="P51" s="50" t="s">
        <v>433</v>
      </c>
    </row>
    <row r="52" spans="3:31" x14ac:dyDescent="0.25">
      <c r="C52" t="str">
        <f t="shared" si="1"/>
        <v>Minimale Tragfähigkeit der Decke/maximale Belastung in jedem einzelnen Befestigungspunkt: 100kg</v>
      </c>
      <c r="I52" s="52" t="s">
        <v>434</v>
      </c>
      <c r="J52" s="52" t="s">
        <v>435</v>
      </c>
      <c r="K52" s="52" t="s">
        <v>436</v>
      </c>
      <c r="L52" s="52" t="s">
        <v>437</v>
      </c>
      <c r="M52" s="52" t="s">
        <v>438</v>
      </c>
      <c r="N52" s="53" t="s">
        <v>439</v>
      </c>
      <c r="O52" s="52" t="s">
        <v>440</v>
      </c>
      <c r="P52" s="50" t="s">
        <v>441</v>
      </c>
    </row>
    <row r="53" spans="3:31" x14ac:dyDescent="0.25">
      <c r="C53" t="str">
        <f t="shared" si="1"/>
        <v>Typ der Antriebsleiste</v>
      </c>
      <c r="I53" s="52" t="s">
        <v>442</v>
      </c>
      <c r="J53" s="52" t="s">
        <v>443</v>
      </c>
      <c r="K53" s="52" t="s">
        <v>444</v>
      </c>
      <c r="L53" t="s">
        <v>445</v>
      </c>
      <c r="M53" s="52" t="s">
        <v>446</v>
      </c>
      <c r="N53" s="53" t="s">
        <v>447</v>
      </c>
      <c r="O53" s="52" t="s">
        <v>448</v>
      </c>
      <c r="P53" s="50" t="s">
        <v>449</v>
      </c>
    </row>
    <row r="54" spans="3:31" x14ac:dyDescent="0.25">
      <c r="C54" t="str">
        <f t="shared" si="1"/>
        <v>Antriebsleiste zu kurz</v>
      </c>
      <c r="I54" s="52" t="s">
        <v>450</v>
      </c>
      <c r="J54" s="52" t="s">
        <v>451</v>
      </c>
      <c r="K54" s="52" t="s">
        <v>452</v>
      </c>
      <c r="L54" s="52" t="s">
        <v>453</v>
      </c>
      <c r="M54" s="52" t="s">
        <v>454</v>
      </c>
      <c r="N54" s="53" t="s">
        <v>455</v>
      </c>
      <c r="O54" s="52" t="s">
        <v>456</v>
      </c>
      <c r="P54" s="50" t="s">
        <v>457</v>
      </c>
    </row>
    <row r="63" spans="3:31" ht="15.75" thickBot="1" x14ac:dyDescent="0.3"/>
    <row r="64" spans="3:31" x14ac:dyDescent="0.25">
      <c r="Z64" s="2"/>
      <c r="AA64" s="3"/>
      <c r="AB64" s="3"/>
      <c r="AC64" s="3"/>
      <c r="AD64" s="3"/>
      <c r="AE64" s="4"/>
    </row>
    <row r="65" spans="26:31" x14ac:dyDescent="0.25">
      <c r="Z65" s="6"/>
      <c r="AE65" s="7"/>
    </row>
    <row r="66" spans="26:31" x14ac:dyDescent="0.25">
      <c r="Z66" s="6"/>
      <c r="AE66" s="7"/>
    </row>
    <row r="67" spans="26:31" x14ac:dyDescent="0.25">
      <c r="Z67" s="6"/>
      <c r="AE67" s="7"/>
    </row>
    <row r="68" spans="26:31" x14ac:dyDescent="0.25">
      <c r="Z68" s="6"/>
      <c r="AE68" s="7"/>
    </row>
    <row r="69" spans="26:31" ht="15.75" thickBot="1" x14ac:dyDescent="0.3">
      <c r="Z69" s="8"/>
      <c r="AA69" s="9"/>
      <c r="AB69" s="9"/>
      <c r="AC69" s="9"/>
      <c r="AD69" s="9"/>
      <c r="AE69" s="10"/>
    </row>
  </sheetData>
  <sheetProtection algorithmName="SHA-512" hashValue="OFvKOi9cojaNL0+uC48nNBgm8KOZSmUbluVjNWRcBqYM44JOYRJfMTBSbPh5eos/Bi5vDYZ0VGHPD8naPFMQ2A==" saltValue="kJ4Poc+4VeZFqbfcxqIjWQ==" spinCount="100000" sheet="1" objects="1" scenarios="1" selectLockedCells="1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5F8896-3898-40E5-8DB8-FFDDDF9C1251}">
  <sheetPr codeName="List3"/>
  <dimension ref="A1:AA99"/>
  <sheetViews>
    <sheetView topLeftCell="A11" workbookViewId="0">
      <selection activeCell="H59" sqref="H59"/>
    </sheetView>
  </sheetViews>
  <sheetFormatPr baseColWidth="10" defaultColWidth="9.140625" defaultRowHeight="15" x14ac:dyDescent="0.25"/>
  <cols>
    <col min="1" max="1" width="10" bestFit="1" customWidth="1"/>
    <col min="3" max="3" width="11.7109375" customWidth="1"/>
    <col min="4" max="4" width="11.5703125" customWidth="1"/>
    <col min="5" max="5" width="9.85546875" bestFit="1" customWidth="1"/>
    <col min="7" max="7" width="9.85546875" bestFit="1" customWidth="1"/>
    <col min="8" max="8" width="11.28515625" bestFit="1" customWidth="1"/>
    <col min="9" max="9" width="11.140625" customWidth="1"/>
    <col min="11" max="11" width="9.85546875" bestFit="1" customWidth="1"/>
    <col min="13" max="13" width="9.85546875" bestFit="1" customWidth="1"/>
    <col min="15" max="15" width="9.85546875" bestFit="1" customWidth="1"/>
    <col min="17" max="17" width="9.85546875" bestFit="1" customWidth="1"/>
  </cols>
  <sheetData>
    <row r="1" spans="1:18" x14ac:dyDescent="0.25">
      <c r="A1" t="s">
        <v>458</v>
      </c>
      <c r="C1" s="56" t="s">
        <v>40</v>
      </c>
    </row>
    <row r="2" spans="1:18" x14ac:dyDescent="0.25">
      <c r="A2" t="s">
        <v>3</v>
      </c>
      <c r="B2">
        <v>1</v>
      </c>
    </row>
    <row r="3" spans="1:18" x14ac:dyDescent="0.25">
      <c r="A3" t="s">
        <v>44</v>
      </c>
      <c r="B3">
        <v>2</v>
      </c>
      <c r="C3" s="57" t="str">
        <f>Translation!C38</f>
        <v>Bedienung</v>
      </c>
      <c r="E3" s="58" t="s">
        <v>459</v>
      </c>
      <c r="F3" s="59"/>
      <c r="I3" s="57" t="str">
        <f>Translation!C43</f>
        <v>Der Typ des Antriebs</v>
      </c>
      <c r="K3" s="58" t="s">
        <v>460</v>
      </c>
      <c r="L3" s="59"/>
      <c r="N3" s="58" t="s">
        <v>461</v>
      </c>
      <c r="O3" s="59"/>
      <c r="Q3" s="58" t="s">
        <v>462</v>
      </c>
      <c r="R3" s="59"/>
    </row>
    <row r="4" spans="1:18" x14ac:dyDescent="0.25">
      <c r="A4" t="s">
        <v>45</v>
      </c>
      <c r="B4">
        <v>3</v>
      </c>
      <c r="C4" s="60"/>
      <c r="E4" s="60"/>
      <c r="F4" s="60"/>
      <c r="I4" s="60"/>
    </row>
    <row r="5" spans="1:18" x14ac:dyDescent="0.25">
      <c r="A5" t="s">
        <v>46</v>
      </c>
      <c r="B5">
        <v>4</v>
      </c>
      <c r="C5" s="60" t="str">
        <f>Translation!C39</f>
        <v>händisch</v>
      </c>
      <c r="E5" s="60">
        <v>0</v>
      </c>
      <c r="F5" s="60">
        <f>2575</f>
        <v>2575</v>
      </c>
      <c r="I5" s="60" t="s">
        <v>32</v>
      </c>
      <c r="K5" s="61" t="str">
        <f>I5</f>
        <v>Black</v>
      </c>
      <c r="L5" s="62"/>
      <c r="N5" s="61" t="str">
        <f>I5</f>
        <v>Black</v>
      </c>
      <c r="O5" s="62"/>
      <c r="Q5" s="61" t="str">
        <f>I5</f>
        <v>Black</v>
      </c>
      <c r="R5" s="62"/>
    </row>
    <row r="6" spans="1:18" x14ac:dyDescent="0.25">
      <c r="A6" t="s">
        <v>47</v>
      </c>
      <c r="B6">
        <v>5</v>
      </c>
      <c r="C6" s="60" t="str">
        <f>Translation!C40</f>
        <v>elektrisch</v>
      </c>
      <c r="E6" s="60">
        <v>2001</v>
      </c>
      <c r="F6" s="60">
        <v>2700</v>
      </c>
      <c r="I6" s="60" t="s">
        <v>33</v>
      </c>
      <c r="K6" s="60">
        <v>0</v>
      </c>
      <c r="L6" s="60">
        <v>3540</v>
      </c>
      <c r="N6" s="60">
        <v>0</v>
      </c>
      <c r="O6" s="60">
        <v>3265</v>
      </c>
      <c r="Q6" s="60">
        <v>0</v>
      </c>
      <c r="R6" s="60">
        <v>1400</v>
      </c>
    </row>
    <row r="7" spans="1:18" x14ac:dyDescent="0.25">
      <c r="A7" t="s">
        <v>48</v>
      </c>
      <c r="B7">
        <v>6</v>
      </c>
      <c r="E7" s="60">
        <v>2126</v>
      </c>
      <c r="F7" s="60">
        <v>2825</v>
      </c>
      <c r="I7" s="60" t="s">
        <v>34</v>
      </c>
      <c r="K7" s="60">
        <v>2376</v>
      </c>
      <c r="L7" s="60">
        <v>4240</v>
      </c>
      <c r="N7" s="60">
        <v>2376</v>
      </c>
      <c r="O7" s="60">
        <v>3975</v>
      </c>
      <c r="Q7" s="60">
        <v>3001</v>
      </c>
      <c r="R7" s="60"/>
    </row>
    <row r="8" spans="1:18" x14ac:dyDescent="0.25">
      <c r="A8" t="s">
        <v>49</v>
      </c>
      <c r="B8">
        <v>7</v>
      </c>
      <c r="E8" s="60">
        <v>2251</v>
      </c>
      <c r="F8" s="60">
        <v>2950</v>
      </c>
    </row>
    <row r="9" spans="1:18" x14ac:dyDescent="0.25">
      <c r="A9" t="s">
        <v>50</v>
      </c>
      <c r="B9">
        <v>8</v>
      </c>
      <c r="E9" s="60">
        <v>2376</v>
      </c>
      <c r="F9" s="60">
        <v>3075</v>
      </c>
      <c r="K9" s="61" t="str">
        <f>I6</f>
        <v>RUN 600</v>
      </c>
      <c r="L9" s="62"/>
      <c r="N9" s="61" t="str">
        <f>I6</f>
        <v>RUN 600</v>
      </c>
      <c r="O9" s="62"/>
      <c r="Q9" s="61" t="str">
        <f>I6</f>
        <v>RUN 600</v>
      </c>
      <c r="R9" s="62"/>
    </row>
    <row r="10" spans="1:18" x14ac:dyDescent="0.25">
      <c r="B10">
        <v>9</v>
      </c>
      <c r="E10" s="60">
        <v>2501</v>
      </c>
      <c r="F10" s="60">
        <v>3325</v>
      </c>
      <c r="K10" s="60">
        <v>0</v>
      </c>
      <c r="L10" s="60">
        <v>3100</v>
      </c>
      <c r="N10" s="60">
        <v>0</v>
      </c>
      <c r="O10" s="60">
        <v>2950</v>
      </c>
      <c r="Q10" s="60">
        <v>0</v>
      </c>
      <c r="R10" s="60">
        <v>1400</v>
      </c>
    </row>
    <row r="11" spans="1:18" x14ac:dyDescent="0.25">
      <c r="B11">
        <v>10</v>
      </c>
      <c r="E11" s="60">
        <v>2751</v>
      </c>
      <c r="F11" s="60">
        <v>3575</v>
      </c>
      <c r="K11" s="60">
        <v>2126</v>
      </c>
      <c r="L11" s="60">
        <v>4240</v>
      </c>
      <c r="N11" s="60">
        <v>2126</v>
      </c>
      <c r="O11" s="60">
        <v>4060</v>
      </c>
      <c r="Q11" s="60">
        <v>3001</v>
      </c>
      <c r="R11" s="60">
        <v>0</v>
      </c>
    </row>
    <row r="12" spans="1:18" x14ac:dyDescent="0.25">
      <c r="B12">
        <v>11</v>
      </c>
    </row>
    <row r="13" spans="1:18" x14ac:dyDescent="0.25">
      <c r="K13" s="61" t="str">
        <f>I7</f>
        <v>Cube</v>
      </c>
      <c r="L13" s="62"/>
      <c r="N13" s="61" t="str">
        <f>I7</f>
        <v>Cube</v>
      </c>
      <c r="O13" s="62"/>
      <c r="Q13" s="61" t="str">
        <f>I7</f>
        <v>Cube</v>
      </c>
      <c r="R13" s="62"/>
    </row>
    <row r="14" spans="1:18" x14ac:dyDescent="0.25">
      <c r="K14" s="60">
        <v>0</v>
      </c>
      <c r="L14" s="60">
        <v>3680</v>
      </c>
      <c r="N14" s="60">
        <v>0</v>
      </c>
      <c r="O14" s="60">
        <v>3480</v>
      </c>
      <c r="Q14" s="60">
        <v>0</v>
      </c>
      <c r="R14" s="60">
        <v>1800</v>
      </c>
    </row>
    <row r="15" spans="1:18" x14ac:dyDescent="0.25">
      <c r="A15" t="s">
        <v>463</v>
      </c>
      <c r="K15" s="60">
        <v>2501</v>
      </c>
      <c r="L15" s="60">
        <v>4160</v>
      </c>
      <c r="N15" s="60">
        <v>2501</v>
      </c>
      <c r="O15" s="60">
        <v>3960</v>
      </c>
      <c r="Q15" s="60">
        <v>2501</v>
      </c>
      <c r="R15" s="60">
        <v>2050</v>
      </c>
    </row>
    <row r="16" spans="1:18" x14ac:dyDescent="0.25">
      <c r="A16" t="s">
        <v>464</v>
      </c>
    </row>
    <row r="17" spans="1:15" x14ac:dyDescent="0.25">
      <c r="A17" t="s">
        <v>465</v>
      </c>
    </row>
    <row r="18" spans="1:15" x14ac:dyDescent="0.25">
      <c r="C18" s="56" t="s">
        <v>41</v>
      </c>
    </row>
    <row r="20" spans="1:15" x14ac:dyDescent="0.25">
      <c r="C20" s="57">
        <f>Translation!D38</f>
        <v>0</v>
      </c>
      <c r="E20" s="58" t="s">
        <v>459</v>
      </c>
      <c r="F20" s="59"/>
      <c r="I20" s="57">
        <f>Translation!D43</f>
        <v>0</v>
      </c>
      <c r="K20" s="58" t="s">
        <v>460</v>
      </c>
      <c r="L20" s="59"/>
      <c r="N20" s="58" t="s">
        <v>461</v>
      </c>
      <c r="O20" s="59"/>
    </row>
    <row r="21" spans="1:15" x14ac:dyDescent="0.25">
      <c r="C21" s="60"/>
      <c r="E21" s="60"/>
      <c r="F21" s="60"/>
      <c r="I21" s="60"/>
    </row>
    <row r="22" spans="1:15" x14ac:dyDescent="0.25">
      <c r="C22" s="60">
        <f>Translation!D39</f>
        <v>0</v>
      </c>
      <c r="E22" s="60">
        <v>0</v>
      </c>
      <c r="F22" s="60">
        <f>2575</f>
        <v>2575</v>
      </c>
      <c r="I22" s="60" t="s">
        <v>466</v>
      </c>
      <c r="K22" s="61" t="str">
        <f>I22</f>
        <v>D600</v>
      </c>
      <c r="L22" s="62"/>
      <c r="N22" s="61" t="str">
        <f>I22</f>
        <v>D600</v>
      </c>
      <c r="O22" s="62"/>
    </row>
    <row r="23" spans="1:15" x14ac:dyDescent="0.25">
      <c r="C23" s="60">
        <f>Translation!D40</f>
        <v>0</v>
      </c>
      <c r="E23" s="60">
        <v>2001</v>
      </c>
      <c r="F23" s="60">
        <v>2700</v>
      </c>
      <c r="I23" s="60" t="s">
        <v>467</v>
      </c>
      <c r="K23" s="60" t="str">
        <f>N23</f>
        <v>F390119</v>
      </c>
      <c r="L23" s="60">
        <f>O23+(360/2)</f>
        <v>2795</v>
      </c>
      <c r="N23" s="60" t="str">
        <f>I27</f>
        <v>F390119</v>
      </c>
      <c r="O23" s="60">
        <v>2615</v>
      </c>
    </row>
    <row r="24" spans="1:15" x14ac:dyDescent="0.25">
      <c r="E24" s="60">
        <v>2126</v>
      </c>
      <c r="F24" s="60">
        <v>2825</v>
      </c>
      <c r="K24" s="60" t="str">
        <f t="shared" ref="K24:K26" si="0">N24</f>
        <v>F390126</v>
      </c>
      <c r="L24" s="60">
        <f>O24+(360/2)</f>
        <v>3362</v>
      </c>
      <c r="N24" s="60" t="str">
        <f t="shared" ref="N24:N26" si="1">I28</f>
        <v>F390126</v>
      </c>
      <c r="O24" s="60">
        <v>3182</v>
      </c>
    </row>
    <row r="25" spans="1:15" x14ac:dyDescent="0.25">
      <c r="E25" s="60">
        <v>2251</v>
      </c>
      <c r="F25" s="60">
        <v>2950</v>
      </c>
      <c r="I25" s="57">
        <f>Translation!D53</f>
        <v>0</v>
      </c>
      <c r="K25" s="60" t="str">
        <f t="shared" si="0"/>
        <v>F390132</v>
      </c>
      <c r="L25" s="60">
        <f>O25+(360/2)</f>
        <v>3945</v>
      </c>
      <c r="N25" s="60" t="str">
        <f t="shared" si="1"/>
        <v>F390132</v>
      </c>
      <c r="O25" s="60">
        <v>3765</v>
      </c>
    </row>
    <row r="26" spans="1:15" x14ac:dyDescent="0.25">
      <c r="E26" s="60">
        <v>2376</v>
      </c>
      <c r="F26" s="60">
        <v>3075</v>
      </c>
      <c r="I26" s="63" t="s">
        <v>468</v>
      </c>
      <c r="K26" s="60" t="str">
        <f t="shared" si="0"/>
        <v>F390139</v>
      </c>
      <c r="L26" s="60">
        <f>O26+(360/2)</f>
        <v>4545</v>
      </c>
      <c r="N26" s="60" t="str">
        <f t="shared" si="1"/>
        <v>F390139</v>
      </c>
      <c r="O26" s="60">
        <v>4365</v>
      </c>
    </row>
    <row r="27" spans="1:15" x14ac:dyDescent="0.25">
      <c r="E27" s="60">
        <v>2501</v>
      </c>
      <c r="F27" s="60">
        <v>3325</v>
      </c>
      <c r="H27" s="60">
        <v>0</v>
      </c>
      <c r="I27" s="60" t="s">
        <v>469</v>
      </c>
    </row>
    <row r="28" spans="1:15" x14ac:dyDescent="0.25">
      <c r="E28" s="60">
        <v>2751</v>
      </c>
      <c r="F28" s="60">
        <v>3575</v>
      </c>
      <c r="H28" s="60">
        <v>2001</v>
      </c>
      <c r="I28" s="60" t="s">
        <v>470</v>
      </c>
      <c r="K28" s="61" t="str">
        <f>I23</f>
        <v>D1000</v>
      </c>
      <c r="L28" s="62"/>
      <c r="N28" s="61" t="str">
        <f>I23</f>
        <v>D1000</v>
      </c>
      <c r="O28" s="62"/>
    </row>
    <row r="29" spans="1:15" x14ac:dyDescent="0.25">
      <c r="H29" s="60">
        <v>2401</v>
      </c>
      <c r="I29" s="60" t="s">
        <v>471</v>
      </c>
      <c r="K29" s="60" t="str">
        <f>N29</f>
        <v>F390119</v>
      </c>
      <c r="L29" s="60">
        <f>O29+(360/2)</f>
        <v>2795</v>
      </c>
      <c r="N29" s="60" t="str">
        <f>I27</f>
        <v>F390119</v>
      </c>
      <c r="O29" s="60">
        <v>2615</v>
      </c>
    </row>
    <row r="30" spans="1:15" x14ac:dyDescent="0.25">
      <c r="H30" s="60">
        <v>3001</v>
      </c>
      <c r="I30" s="60" t="s">
        <v>472</v>
      </c>
      <c r="K30" s="60" t="str">
        <f t="shared" ref="K30:K32" si="2">N30</f>
        <v>F390126</v>
      </c>
      <c r="L30" s="60">
        <f>O30+(360/2)</f>
        <v>3362</v>
      </c>
      <c r="N30" s="60" t="str">
        <f t="shared" ref="N30:N32" si="3">I28</f>
        <v>F390126</v>
      </c>
      <c r="O30" s="60">
        <v>3182</v>
      </c>
    </row>
    <row r="31" spans="1:15" x14ac:dyDescent="0.25">
      <c r="K31" s="60" t="str">
        <f t="shared" si="2"/>
        <v>F390132</v>
      </c>
      <c r="L31" s="60">
        <f>O31+(360/2)</f>
        <v>3945</v>
      </c>
      <c r="N31" s="60" t="str">
        <f t="shared" si="3"/>
        <v>F390132</v>
      </c>
      <c r="O31" s="60">
        <v>3765</v>
      </c>
    </row>
    <row r="32" spans="1:15" x14ac:dyDescent="0.25">
      <c r="K32" s="60" t="str">
        <f t="shared" si="2"/>
        <v>F390139</v>
      </c>
      <c r="L32" s="60">
        <f>O32+(360/2)</f>
        <v>4545</v>
      </c>
      <c r="N32" s="60" t="str">
        <f t="shared" si="3"/>
        <v>F390139</v>
      </c>
      <c r="O32" s="60">
        <v>4365</v>
      </c>
    </row>
    <row r="34" spans="3:18" x14ac:dyDescent="0.25">
      <c r="C34" s="56" t="s">
        <v>42</v>
      </c>
    </row>
    <row r="36" spans="3:18" x14ac:dyDescent="0.25">
      <c r="C36" s="57">
        <f>Translation!E38</f>
        <v>0</v>
      </c>
      <c r="E36" s="58" t="s">
        <v>459</v>
      </c>
      <c r="F36" s="59"/>
      <c r="I36" s="57">
        <f>Translation!E43</f>
        <v>0</v>
      </c>
      <c r="K36" s="58" t="s">
        <v>460</v>
      </c>
      <c r="L36" s="59"/>
      <c r="N36" s="58" t="s">
        <v>461</v>
      </c>
      <c r="O36" s="59"/>
      <c r="Q36" s="58" t="s">
        <v>462</v>
      </c>
      <c r="R36" s="59"/>
    </row>
    <row r="37" spans="3:18" x14ac:dyDescent="0.25">
      <c r="C37" s="60"/>
      <c r="E37" s="60"/>
      <c r="F37" s="60"/>
      <c r="I37" s="60"/>
    </row>
    <row r="38" spans="3:18" x14ac:dyDescent="0.25">
      <c r="C38" s="60">
        <f>Translation!E39</f>
        <v>0</v>
      </c>
      <c r="E38" s="60">
        <v>0</v>
      </c>
      <c r="F38" s="60">
        <f>2575+120</f>
        <v>2695</v>
      </c>
      <c r="I38" s="60" t="s">
        <v>32</v>
      </c>
      <c r="K38" s="61" t="str">
        <f>I38</f>
        <v>Black</v>
      </c>
      <c r="L38" s="62"/>
      <c r="N38" s="61" t="str">
        <f>I38</f>
        <v>Black</v>
      </c>
      <c r="O38" s="62"/>
      <c r="Q38" s="61" t="str">
        <f>I38</f>
        <v>Black</v>
      </c>
      <c r="R38" s="62"/>
    </row>
    <row r="39" spans="3:18" x14ac:dyDescent="0.25">
      <c r="C39" s="60">
        <f>Translation!E40</f>
        <v>0</v>
      </c>
      <c r="E39" s="60">
        <v>2001</v>
      </c>
      <c r="F39" s="60">
        <f>2700+120</f>
        <v>2820</v>
      </c>
      <c r="I39" s="60" t="s">
        <v>33</v>
      </c>
      <c r="K39" s="60">
        <v>0</v>
      </c>
      <c r="L39" s="60">
        <v>3540</v>
      </c>
      <c r="N39" s="60">
        <v>0</v>
      </c>
      <c r="O39" s="60">
        <v>3265</v>
      </c>
      <c r="Q39" s="60">
        <v>0</v>
      </c>
      <c r="R39" s="60">
        <v>1400</v>
      </c>
    </row>
    <row r="40" spans="3:18" x14ac:dyDescent="0.25">
      <c r="E40" s="60">
        <v>2126</v>
      </c>
      <c r="F40" s="60">
        <f>2825+120</f>
        <v>2945</v>
      </c>
      <c r="I40" s="60" t="s">
        <v>34</v>
      </c>
      <c r="K40" s="60">
        <v>2376</v>
      </c>
      <c r="L40" s="60">
        <v>4240</v>
      </c>
      <c r="N40" s="60">
        <v>2376</v>
      </c>
      <c r="O40" s="60">
        <v>3975</v>
      </c>
      <c r="Q40" s="60">
        <v>3001</v>
      </c>
      <c r="R40" s="60"/>
    </row>
    <row r="41" spans="3:18" x14ac:dyDescent="0.25">
      <c r="C41" s="57" t="s">
        <v>380</v>
      </c>
      <c r="E41" s="60">
        <v>2251</v>
      </c>
      <c r="F41" s="60">
        <f>2950+120</f>
        <v>3070</v>
      </c>
      <c r="I41">
        <f>Translation!E42</f>
        <v>0</v>
      </c>
    </row>
    <row r="42" spans="3:18" x14ac:dyDescent="0.25">
      <c r="C42" s="60"/>
      <c r="E42" s="60">
        <v>2376</v>
      </c>
      <c r="F42" s="60">
        <f>3075+120</f>
        <v>3195</v>
      </c>
      <c r="I42">
        <f>IF(H42=Selections!C38,90,IF(H42=Selections!C39,125,"Error"))</f>
        <v>90</v>
      </c>
      <c r="K42" s="61" t="str">
        <f>I39</f>
        <v>RUN 600</v>
      </c>
      <c r="L42" s="62"/>
      <c r="N42" s="61" t="str">
        <f>I39</f>
        <v>RUN 600</v>
      </c>
      <c r="O42" s="62"/>
      <c r="Q42" s="61" t="str">
        <f>I39</f>
        <v>RUN 600</v>
      </c>
      <c r="R42" s="62"/>
    </row>
    <row r="43" spans="3:18" x14ac:dyDescent="0.25">
      <c r="C43" s="60">
        <f>Translation!E46</f>
        <v>0</v>
      </c>
      <c r="E43" s="60">
        <v>2501</v>
      </c>
      <c r="F43" s="60">
        <f>3325+120</f>
        <v>3445</v>
      </c>
      <c r="I43">
        <f>IF(H43=Selections!C43,0,IF(H43=Selections!C44,35,"Error"))</f>
        <v>0</v>
      </c>
      <c r="K43" s="60">
        <v>0</v>
      </c>
      <c r="L43" s="60">
        <v>3100</v>
      </c>
      <c r="N43" s="60">
        <v>0</v>
      </c>
      <c r="O43" s="60">
        <v>2950</v>
      </c>
      <c r="Q43" s="60">
        <v>0</v>
      </c>
      <c r="R43" s="60">
        <v>1400</v>
      </c>
    </row>
    <row r="44" spans="3:18" x14ac:dyDescent="0.25">
      <c r="C44" s="60">
        <f>Translation!E47</f>
        <v>0</v>
      </c>
      <c r="E44" s="60">
        <v>2751</v>
      </c>
      <c r="F44" s="60">
        <f>3575+120</f>
        <v>3695</v>
      </c>
      <c r="K44" s="60">
        <v>2126</v>
      </c>
      <c r="L44" s="60">
        <v>4240</v>
      </c>
      <c r="N44" s="60">
        <v>2126</v>
      </c>
      <c r="O44" s="60">
        <v>4060</v>
      </c>
      <c r="Q44" s="60">
        <v>3001</v>
      </c>
      <c r="R44" s="60">
        <v>0</v>
      </c>
    </row>
    <row r="46" spans="3:18" x14ac:dyDescent="0.25">
      <c r="K46" s="61" t="str">
        <f>I40</f>
        <v>Cube</v>
      </c>
      <c r="L46" s="62"/>
      <c r="N46" s="61" t="str">
        <f>I40</f>
        <v>Cube</v>
      </c>
      <c r="O46" s="62"/>
      <c r="Q46" s="61" t="str">
        <f>I40</f>
        <v>Cube</v>
      </c>
      <c r="R46" s="62"/>
    </row>
    <row r="47" spans="3:18" x14ac:dyDescent="0.25">
      <c r="K47" s="60">
        <v>0</v>
      </c>
      <c r="L47" s="60">
        <v>3680</v>
      </c>
      <c r="N47" s="60">
        <v>0</v>
      </c>
      <c r="O47" s="60">
        <v>3480</v>
      </c>
      <c r="Q47" s="60">
        <v>0</v>
      </c>
      <c r="R47" s="60">
        <v>1800</v>
      </c>
    </row>
    <row r="48" spans="3:18" x14ac:dyDescent="0.25">
      <c r="K48" s="60">
        <v>2501</v>
      </c>
      <c r="L48" s="60">
        <v>4160</v>
      </c>
      <c r="N48" s="60">
        <v>2126</v>
      </c>
      <c r="O48" s="60">
        <v>3960</v>
      </c>
      <c r="Q48" s="60">
        <v>2501</v>
      </c>
      <c r="R48" s="60">
        <v>2050</v>
      </c>
    </row>
    <row r="50" spans="3:15" x14ac:dyDescent="0.25">
      <c r="C50" s="56" t="s">
        <v>43</v>
      </c>
    </row>
    <row r="52" spans="3:15" x14ac:dyDescent="0.25">
      <c r="C52" s="57">
        <f>Translation!F38</f>
        <v>0</v>
      </c>
      <c r="E52" s="58" t="s">
        <v>459</v>
      </c>
      <c r="F52" s="59"/>
      <c r="I52" s="57">
        <f>Translation!F43</f>
        <v>0</v>
      </c>
      <c r="K52" s="58" t="s">
        <v>460</v>
      </c>
      <c r="L52" s="59"/>
      <c r="N52" s="58" t="s">
        <v>461</v>
      </c>
      <c r="O52" s="59"/>
    </row>
    <row r="53" spans="3:15" x14ac:dyDescent="0.25">
      <c r="C53" s="60"/>
      <c r="E53" s="60"/>
      <c r="F53" s="60"/>
      <c r="I53" s="60"/>
    </row>
    <row r="54" spans="3:15" x14ac:dyDescent="0.25">
      <c r="C54" s="60">
        <f>Translation!F39</f>
        <v>0</v>
      </c>
      <c r="E54" s="60">
        <v>0</v>
      </c>
      <c r="F54" s="60">
        <f>2575+120</f>
        <v>2695</v>
      </c>
      <c r="I54" s="60" t="s">
        <v>466</v>
      </c>
      <c r="K54" s="61" t="str">
        <f>I54</f>
        <v>D600</v>
      </c>
      <c r="L54" s="62"/>
      <c r="N54" s="61" t="str">
        <f>I54</f>
        <v>D600</v>
      </c>
      <c r="O54" s="62"/>
    </row>
    <row r="55" spans="3:15" x14ac:dyDescent="0.25">
      <c r="C55" s="60">
        <f>Translation!F40</f>
        <v>0</v>
      </c>
      <c r="E55" s="60">
        <v>2001</v>
      </c>
      <c r="F55" s="60">
        <f>2700+120</f>
        <v>2820</v>
      </c>
      <c r="I55" s="60" t="s">
        <v>467</v>
      </c>
      <c r="K55" s="60" t="str">
        <f>N55</f>
        <v>F390119</v>
      </c>
      <c r="L55" s="60">
        <f>O55+(360/2)</f>
        <v>2795</v>
      </c>
      <c r="N55" s="60" t="str">
        <f>I63</f>
        <v>F390119</v>
      </c>
      <c r="O55" s="60">
        <v>2615</v>
      </c>
    </row>
    <row r="56" spans="3:15" x14ac:dyDescent="0.25">
      <c r="E56" s="60">
        <v>2126</v>
      </c>
      <c r="F56" s="60">
        <f>2825+120</f>
        <v>2945</v>
      </c>
      <c r="K56" s="60" t="str">
        <f t="shared" ref="K56:K58" si="4">N56</f>
        <v>F390126</v>
      </c>
      <c r="L56" s="60">
        <f>O56+(360/2)</f>
        <v>3362</v>
      </c>
      <c r="N56" s="60" t="str">
        <f t="shared" ref="N56:N58" si="5">I64</f>
        <v>F390126</v>
      </c>
      <c r="O56" s="60">
        <v>3182</v>
      </c>
    </row>
    <row r="57" spans="3:15" x14ac:dyDescent="0.25">
      <c r="C57" s="57" t="s">
        <v>380</v>
      </c>
      <c r="E57" s="60">
        <v>2251</v>
      </c>
      <c r="F57" s="60">
        <f>2950+120</f>
        <v>3070</v>
      </c>
      <c r="I57">
        <f>Translation!F42</f>
        <v>0</v>
      </c>
      <c r="K57" s="60" t="str">
        <f t="shared" si="4"/>
        <v>F390132</v>
      </c>
      <c r="L57" s="60">
        <f>O57+(360/2)</f>
        <v>3945</v>
      </c>
      <c r="N57" s="60" t="str">
        <f t="shared" si="5"/>
        <v>F390132</v>
      </c>
      <c r="O57" s="60">
        <v>3765</v>
      </c>
    </row>
    <row r="58" spans="3:15" x14ac:dyDescent="0.25">
      <c r="C58" s="60"/>
      <c r="E58" s="60">
        <v>2376</v>
      </c>
      <c r="F58" s="60">
        <f>3075+120</f>
        <v>3195</v>
      </c>
      <c r="I58">
        <f>IF(H58=Selections!C54,90,IF(H58=Selections!C55,125,"Error"))</f>
        <v>90</v>
      </c>
      <c r="K58" s="60" t="str">
        <f t="shared" si="4"/>
        <v>F390139</v>
      </c>
      <c r="L58" s="60">
        <f>O58+(360/2)</f>
        <v>4545</v>
      </c>
      <c r="N58" s="60" t="str">
        <f t="shared" si="5"/>
        <v>F390139</v>
      </c>
      <c r="O58" s="60">
        <v>4365</v>
      </c>
    </row>
    <row r="59" spans="3:15" x14ac:dyDescent="0.25">
      <c r="C59" s="60">
        <f>Translation!F46</f>
        <v>0</v>
      </c>
      <c r="E59" s="60">
        <v>2501</v>
      </c>
      <c r="F59" s="60">
        <f>3325+120</f>
        <v>3445</v>
      </c>
      <c r="I59">
        <f>IF(H59=Selections!C59,0,IF(H59=Selections!C60,35,"Error"))</f>
        <v>0</v>
      </c>
    </row>
    <row r="60" spans="3:15" x14ac:dyDescent="0.25">
      <c r="C60" s="60">
        <f>Translation!F47</f>
        <v>0</v>
      </c>
      <c r="E60" s="60">
        <v>2751</v>
      </c>
      <c r="F60" s="60">
        <f>3575+120</f>
        <v>3695</v>
      </c>
      <c r="K60" s="61" t="str">
        <f>I55</f>
        <v>D1000</v>
      </c>
      <c r="L60" s="62"/>
      <c r="N60" s="61" t="str">
        <f>I55</f>
        <v>D1000</v>
      </c>
      <c r="O60" s="62"/>
    </row>
    <row r="61" spans="3:15" x14ac:dyDescent="0.25">
      <c r="I61" s="57">
        <f>Translation!F53</f>
        <v>0</v>
      </c>
      <c r="K61" s="60" t="str">
        <f>N61</f>
        <v>F390119</v>
      </c>
      <c r="L61" s="60">
        <f>O61+(360/2)</f>
        <v>2795</v>
      </c>
      <c r="N61" s="60" t="str">
        <f>I63</f>
        <v>F390119</v>
      </c>
      <c r="O61" s="60">
        <v>2615</v>
      </c>
    </row>
    <row r="62" spans="3:15" x14ac:dyDescent="0.25">
      <c r="I62" s="63" t="s">
        <v>468</v>
      </c>
      <c r="K62" s="60" t="str">
        <f t="shared" ref="K62:K64" si="6">N62</f>
        <v>F390126</v>
      </c>
      <c r="L62" s="60">
        <f>O62+(360/2)</f>
        <v>3362</v>
      </c>
      <c r="N62" s="60" t="str">
        <f t="shared" ref="N62:N64" si="7">I64</f>
        <v>F390126</v>
      </c>
      <c r="O62" s="60">
        <v>3182</v>
      </c>
    </row>
    <row r="63" spans="3:15" x14ac:dyDescent="0.25">
      <c r="H63" s="60">
        <v>0</v>
      </c>
      <c r="I63" s="60" t="s">
        <v>469</v>
      </c>
      <c r="K63" s="60" t="str">
        <f t="shared" si="6"/>
        <v>F390132</v>
      </c>
      <c r="L63" s="60">
        <f>O63+(360/2)</f>
        <v>3945</v>
      </c>
      <c r="N63" s="60" t="str">
        <f t="shared" si="7"/>
        <v>F390132</v>
      </c>
      <c r="O63" s="60">
        <v>3765</v>
      </c>
    </row>
    <row r="64" spans="3:15" x14ac:dyDescent="0.25">
      <c r="H64" s="60">
        <v>2001</v>
      </c>
      <c r="I64" s="60" t="s">
        <v>470</v>
      </c>
      <c r="K64" s="60" t="str">
        <f t="shared" si="6"/>
        <v>F390139</v>
      </c>
      <c r="L64" s="60">
        <f>O64+(360/2)</f>
        <v>4545</v>
      </c>
      <c r="N64" s="60" t="str">
        <f t="shared" si="7"/>
        <v>F390139</v>
      </c>
      <c r="O64" s="60">
        <v>4365</v>
      </c>
    </row>
    <row r="65" spans="3:20" x14ac:dyDescent="0.25">
      <c r="H65" s="60">
        <v>2401</v>
      </c>
      <c r="I65" s="60" t="s">
        <v>471</v>
      </c>
    </row>
    <row r="66" spans="3:20" x14ac:dyDescent="0.25">
      <c r="H66" s="60">
        <v>3001</v>
      </c>
      <c r="I66" s="60" t="s">
        <v>472</v>
      </c>
    </row>
    <row r="68" spans="3:20" x14ac:dyDescent="0.25">
      <c r="C68" s="56" t="s">
        <v>473</v>
      </c>
    </row>
    <row r="70" spans="3:20" x14ac:dyDescent="0.25">
      <c r="C70" s="57">
        <f>Translation!G38</f>
        <v>0</v>
      </c>
      <c r="I70" s="57">
        <f>Translation!G43</f>
        <v>0</v>
      </c>
      <c r="K70" s="58" t="s">
        <v>460</v>
      </c>
      <c r="L70" s="59"/>
      <c r="N70" s="58" t="s">
        <v>461</v>
      </c>
      <c r="O70" s="59"/>
      <c r="Q70" s="58" t="s">
        <v>462</v>
      </c>
      <c r="R70" s="59"/>
      <c r="T70" s="57">
        <f>Translation!G48</f>
        <v>0</v>
      </c>
    </row>
    <row r="71" spans="3:20" x14ac:dyDescent="0.25">
      <c r="C71" s="60"/>
      <c r="I71" s="60"/>
      <c r="T71" s="60"/>
    </row>
    <row r="72" spans="3:20" x14ac:dyDescent="0.25">
      <c r="C72" s="60">
        <f>Translation!G39</f>
        <v>0</v>
      </c>
      <c r="I72" s="60" t="s">
        <v>32</v>
      </c>
      <c r="K72" s="61" t="str">
        <f>I72</f>
        <v>Black</v>
      </c>
      <c r="L72" s="62"/>
      <c r="N72" s="61" t="str">
        <f>I72</f>
        <v>Black</v>
      </c>
      <c r="O72" s="62"/>
      <c r="Q72" s="61" t="str">
        <f>I72</f>
        <v>Black</v>
      </c>
      <c r="R72" s="62"/>
      <c r="T72" s="60" t="s">
        <v>474</v>
      </c>
    </row>
    <row r="73" spans="3:20" x14ac:dyDescent="0.25">
      <c r="C73" s="60">
        <f>Translation!G40</f>
        <v>0</v>
      </c>
      <c r="I73" s="60" t="s">
        <v>33</v>
      </c>
      <c r="K73" s="60">
        <v>0</v>
      </c>
      <c r="L73" s="60">
        <v>3540</v>
      </c>
      <c r="N73" s="60">
        <v>0</v>
      </c>
      <c r="O73" s="60">
        <v>3265</v>
      </c>
      <c r="Q73" s="60">
        <v>0</v>
      </c>
      <c r="R73" s="60">
        <v>1400</v>
      </c>
      <c r="T73" s="60" t="s">
        <v>475</v>
      </c>
    </row>
    <row r="74" spans="3:20" x14ac:dyDescent="0.25">
      <c r="I74" s="60" t="s">
        <v>34</v>
      </c>
      <c r="K74" s="60">
        <v>2376</v>
      </c>
      <c r="L74" s="60">
        <v>4240</v>
      </c>
      <c r="N74" s="60">
        <v>2376</v>
      </c>
      <c r="O74" s="60">
        <v>3975</v>
      </c>
      <c r="Q74" s="60">
        <v>3001</v>
      </c>
      <c r="R74" s="60"/>
    </row>
    <row r="76" spans="3:20" x14ac:dyDescent="0.25">
      <c r="K76" s="61" t="str">
        <f>I73</f>
        <v>RUN 600</v>
      </c>
      <c r="L76" s="62"/>
      <c r="N76" s="61" t="str">
        <f>I73</f>
        <v>RUN 600</v>
      </c>
      <c r="O76" s="62"/>
      <c r="Q76" s="61" t="str">
        <f>I73</f>
        <v>RUN 600</v>
      </c>
      <c r="R76" s="62"/>
    </row>
    <row r="77" spans="3:20" x14ac:dyDescent="0.25">
      <c r="K77" s="60">
        <v>0</v>
      </c>
      <c r="L77" s="60">
        <v>3100</v>
      </c>
      <c r="N77" s="60">
        <v>0</v>
      </c>
      <c r="O77" s="60">
        <v>2950</v>
      </c>
      <c r="Q77" s="60">
        <v>0</v>
      </c>
      <c r="R77" s="60">
        <v>1400</v>
      </c>
    </row>
    <row r="78" spans="3:20" x14ac:dyDescent="0.25">
      <c r="K78" s="60">
        <v>2126</v>
      </c>
      <c r="L78" s="60">
        <v>4240</v>
      </c>
      <c r="N78" s="60">
        <v>2126</v>
      </c>
      <c r="O78" s="60">
        <v>4060</v>
      </c>
      <c r="Q78" s="60">
        <v>3001</v>
      </c>
      <c r="R78" s="60">
        <v>0</v>
      </c>
    </row>
    <row r="80" spans="3:20" x14ac:dyDescent="0.25">
      <c r="K80" s="61" t="str">
        <f>I74</f>
        <v>Cube</v>
      </c>
      <c r="L80" s="62"/>
      <c r="N80" s="61" t="str">
        <f>I74</f>
        <v>Cube</v>
      </c>
      <c r="O80" s="62"/>
      <c r="Q80" s="61" t="str">
        <f>I74</f>
        <v>Cube</v>
      </c>
      <c r="R80" s="62"/>
    </row>
    <row r="81" spans="3:27" x14ac:dyDescent="0.25">
      <c r="K81" s="60">
        <v>0</v>
      </c>
      <c r="L81" s="60">
        <v>3680</v>
      </c>
      <c r="N81" s="60">
        <v>0</v>
      </c>
      <c r="O81" s="60">
        <v>3480</v>
      </c>
      <c r="Q81" s="60">
        <v>0</v>
      </c>
      <c r="R81" s="60">
        <v>1800</v>
      </c>
    </row>
    <row r="82" spans="3:27" x14ac:dyDescent="0.25">
      <c r="K82" s="60">
        <v>2501</v>
      </c>
      <c r="L82" s="60">
        <v>4160</v>
      </c>
      <c r="N82" s="60">
        <v>2126</v>
      </c>
      <c r="O82" s="60">
        <v>3960</v>
      </c>
      <c r="Q82" s="60">
        <v>2501</v>
      </c>
      <c r="R82" s="60">
        <v>2050</v>
      </c>
    </row>
    <row r="84" spans="3:27" x14ac:dyDescent="0.25">
      <c r="C84" s="56" t="s">
        <v>476</v>
      </c>
    </row>
    <row r="86" spans="3:27" ht="15.75" thickBot="1" x14ac:dyDescent="0.3">
      <c r="C86" s="57">
        <f>Translation!H38</f>
        <v>0</v>
      </c>
      <c r="I86" s="57">
        <f>Translation!H43</f>
        <v>0</v>
      </c>
      <c r="K86" s="58" t="s">
        <v>460</v>
      </c>
      <c r="L86" s="59"/>
      <c r="N86" s="58" t="s">
        <v>461</v>
      </c>
      <c r="O86" s="59"/>
      <c r="Q86" s="57">
        <f>Translation!H48</f>
        <v>0</v>
      </c>
    </row>
    <row r="87" spans="3:27" x14ac:dyDescent="0.25">
      <c r="C87" s="60"/>
      <c r="I87" s="60"/>
      <c r="Q87" s="60"/>
      <c r="V87" s="2"/>
      <c r="W87" s="3"/>
      <c r="X87" s="3"/>
      <c r="Y87" s="3"/>
      <c r="Z87" s="3"/>
      <c r="AA87" s="4"/>
    </row>
    <row r="88" spans="3:27" x14ac:dyDescent="0.25">
      <c r="C88" s="60">
        <f>Translation!H39</f>
        <v>0</v>
      </c>
      <c r="I88" s="60" t="s">
        <v>466</v>
      </c>
      <c r="K88" s="61" t="str">
        <f>I88</f>
        <v>D600</v>
      </c>
      <c r="L88" s="62"/>
      <c r="N88" s="61" t="str">
        <f>I88</f>
        <v>D600</v>
      </c>
      <c r="O88" s="62"/>
      <c r="Q88" s="60" t="s">
        <v>474</v>
      </c>
      <c r="V88" s="6"/>
      <c r="AA88" s="7"/>
    </row>
    <row r="89" spans="3:27" x14ac:dyDescent="0.25">
      <c r="C89" s="60">
        <f>Translation!H40</f>
        <v>0</v>
      </c>
      <c r="I89" s="60" t="s">
        <v>467</v>
      </c>
      <c r="K89" s="60" t="str">
        <f>N89</f>
        <v>F390119</v>
      </c>
      <c r="L89" s="60">
        <f>O89+(360/2)</f>
        <v>2795</v>
      </c>
      <c r="N89" s="60" t="str">
        <f>I96</f>
        <v>F390119</v>
      </c>
      <c r="O89" s="60">
        <v>2615</v>
      </c>
      <c r="Q89" s="60" t="s">
        <v>475</v>
      </c>
      <c r="V89" s="6"/>
      <c r="AA89" s="7"/>
    </row>
    <row r="90" spans="3:27" x14ac:dyDescent="0.25">
      <c r="K90" s="60" t="str">
        <f t="shared" ref="K90:K92" si="8">N90</f>
        <v>F390126</v>
      </c>
      <c r="L90" s="60">
        <f>O90+(360/2)</f>
        <v>3362</v>
      </c>
      <c r="N90" s="60" t="str">
        <f t="shared" ref="N90:N92" si="9">I97</f>
        <v>F390126</v>
      </c>
      <c r="O90" s="60">
        <v>3182</v>
      </c>
      <c r="V90" s="6"/>
      <c r="AA90" s="7"/>
    </row>
    <row r="91" spans="3:27" x14ac:dyDescent="0.25">
      <c r="K91" s="60" t="str">
        <f t="shared" si="8"/>
        <v>F390132</v>
      </c>
      <c r="L91" s="60">
        <f>O91+(360/2)</f>
        <v>3945</v>
      </c>
      <c r="N91" s="60" t="str">
        <f t="shared" si="9"/>
        <v>F390132</v>
      </c>
      <c r="O91" s="60">
        <v>3765</v>
      </c>
      <c r="V91" s="6"/>
      <c r="AA91" s="7"/>
    </row>
    <row r="92" spans="3:27" ht="15.75" thickBot="1" x14ac:dyDescent="0.3">
      <c r="K92" s="60" t="str">
        <f t="shared" si="8"/>
        <v>F390139</v>
      </c>
      <c r="L92" s="60">
        <f>O92+(360/2)</f>
        <v>4545</v>
      </c>
      <c r="N92" s="60" t="str">
        <f t="shared" si="9"/>
        <v>F390139</v>
      </c>
      <c r="O92" s="60">
        <v>4365</v>
      </c>
      <c r="V92" s="8"/>
      <c r="W92" s="9"/>
      <c r="X92" s="9"/>
      <c r="Y92" s="9"/>
      <c r="Z92" s="9"/>
      <c r="AA92" s="10"/>
    </row>
    <row r="94" spans="3:27" x14ac:dyDescent="0.25">
      <c r="I94" s="57">
        <f>Translation!F80</f>
        <v>0</v>
      </c>
      <c r="K94" s="61" t="str">
        <f>I89</f>
        <v>D1000</v>
      </c>
      <c r="L94" s="62"/>
      <c r="N94" s="61" t="str">
        <f>I89</f>
        <v>D1000</v>
      </c>
      <c r="O94" s="62"/>
    </row>
    <row r="95" spans="3:27" x14ac:dyDescent="0.25">
      <c r="I95" s="63" t="s">
        <v>468</v>
      </c>
      <c r="K95" s="60" t="str">
        <f>N95</f>
        <v>F390119</v>
      </c>
      <c r="L95" s="60">
        <f>O95+(360/2)</f>
        <v>2795</v>
      </c>
      <c r="N95" s="60" t="str">
        <f>I96</f>
        <v>F390119</v>
      </c>
      <c r="O95" s="60">
        <v>2615</v>
      </c>
    </row>
    <row r="96" spans="3:27" x14ac:dyDescent="0.25">
      <c r="H96" s="60">
        <v>0</v>
      </c>
      <c r="I96" s="60" t="s">
        <v>469</v>
      </c>
      <c r="K96" s="60" t="str">
        <f t="shared" ref="K96:K98" si="10">N96</f>
        <v>F390126</v>
      </c>
      <c r="L96" s="60">
        <f>O96+(360/2)</f>
        <v>3362</v>
      </c>
      <c r="N96" s="60" t="str">
        <f t="shared" ref="N96:N98" si="11">I97</f>
        <v>F390126</v>
      </c>
      <c r="O96" s="60">
        <v>3182</v>
      </c>
    </row>
    <row r="97" spans="8:15" x14ac:dyDescent="0.25">
      <c r="H97" s="60">
        <v>2001</v>
      </c>
      <c r="I97" s="60" t="s">
        <v>470</v>
      </c>
      <c r="K97" s="60" t="str">
        <f t="shared" si="10"/>
        <v>F390132</v>
      </c>
      <c r="L97" s="60">
        <f>O97+(360/2)</f>
        <v>3945</v>
      </c>
      <c r="N97" s="60" t="str">
        <f t="shared" si="11"/>
        <v>F390132</v>
      </c>
      <c r="O97" s="60">
        <v>3765</v>
      </c>
    </row>
    <row r="98" spans="8:15" x14ac:dyDescent="0.25">
      <c r="H98" s="60">
        <v>2401</v>
      </c>
      <c r="I98" s="60" t="s">
        <v>471</v>
      </c>
      <c r="K98" s="60" t="str">
        <f t="shared" si="10"/>
        <v>F390139</v>
      </c>
      <c r="L98" s="60">
        <f>O98+(360/2)</f>
        <v>4545</v>
      </c>
      <c r="N98" s="60" t="str">
        <f t="shared" si="11"/>
        <v>F390139</v>
      </c>
      <c r="O98" s="60">
        <v>4365</v>
      </c>
    </row>
    <row r="99" spans="8:15" x14ac:dyDescent="0.25">
      <c r="H99" s="60">
        <v>3001</v>
      </c>
      <c r="I99" s="60" t="s">
        <v>472</v>
      </c>
    </row>
  </sheetData>
  <sheetProtection algorithmName="SHA-512" hashValue="I1BOL/lhXPeJdj8bGw6xiQP7bq1+W6+dPLh0h/YsG5MOw5vJfblDpaigrx6cL4/O9CaJMxXcCA9Dy9XGc2CH8A==" saltValue="U3fq8jGvCpC9oxbjXsZzpA==" spinCount="100000" sheet="1" objects="1" scenarios="1" selectLockedCells="1"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LHF-C</vt:lpstr>
      <vt:lpstr>Translation</vt:lpstr>
      <vt:lpstr>Selections</vt:lpstr>
      <vt:lpstr>'LHF-C'!Druckbereich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Tatjana Krause</dc:creator>
  <cp:lastModifiedBy>Tatjana Krause</cp:lastModifiedBy>
  <dcterms:created xsi:type="dcterms:W3CDTF">2023-10-11T05:14:54Z</dcterms:created>
  <dcterms:modified xsi:type="dcterms:W3CDTF">2024-07-09T12:12:33Z</dcterms:modified>
</cp:coreProperties>
</file>